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13_ncr:1_{90DB1D73-63B1-4C2D-8E68-4BBBFE5D3C0B}"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5" i="5" l="1"/>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X13" i="5"/>
  <c r="V14" i="5"/>
  <c r="X14" i="5"/>
  <c r="V15" i="5"/>
  <c r="X15" i="5"/>
  <c r="V16" i="5"/>
  <c r="X16" i="5"/>
  <c r="V17" i="5"/>
  <c r="X17" i="5"/>
  <c r="V18" i="5"/>
  <c r="X18" i="5"/>
  <c r="V19" i="5"/>
  <c r="V20" i="5"/>
  <c r="X20" i="5"/>
  <c r="V21" i="5"/>
  <c r="X21" i="5"/>
  <c r="V22" i="5"/>
  <c r="E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B63" i="6"/>
  <c r="G63" i="6" s="1"/>
  <c r="B62" i="6"/>
  <c r="G62" i="6"/>
  <c r="B60" i="6"/>
  <c r="G60" i="6" s="1"/>
  <c r="B59" i="6"/>
  <c r="G59" i="6" s="1"/>
  <c r="B58" i="6"/>
  <c r="G58" i="6"/>
  <c r="B57" i="6"/>
  <c r="G57" i="6" s="1"/>
  <c r="B56" i="6"/>
  <c r="G56" i="6" s="1"/>
  <c r="B55" i="6"/>
  <c r="G55" i="6"/>
  <c r="B54" i="6"/>
  <c r="G54" i="6" s="1"/>
  <c r="B17" i="6"/>
  <c r="B16" i="6"/>
  <c r="B15" i="6"/>
  <c r="B14" i="6"/>
  <c r="G14" i="6"/>
  <c r="H14" i="6" s="1"/>
  <c r="D14" i="6" s="1"/>
  <c r="H13" i="6"/>
  <c r="B12" i="6"/>
  <c r="G12" i="6" s="1"/>
  <c r="H12" i="6" s="1"/>
  <c r="D12" i="6" s="1"/>
  <c r="B11" i="6"/>
  <c r="G11" i="6"/>
  <c r="H11" i="6" s="1"/>
  <c r="D11" i="6" s="1"/>
  <c r="G9" i="6"/>
  <c r="H9" i="6" s="1"/>
  <c r="D9" i="6" s="1"/>
  <c r="B8" i="6"/>
  <c r="G8" i="6" s="1"/>
  <c r="H8" i="6" s="1"/>
  <c r="D8" i="6" s="1"/>
  <c r="B7" i="6"/>
  <c r="G7" i="6" s="1"/>
  <c r="H7" i="6" s="1"/>
  <c r="D7" i="6" s="1"/>
  <c r="B6" i="6"/>
  <c r="G6" i="6"/>
  <c r="B5" i="6"/>
  <c r="F6" i="6"/>
  <c r="H6" i="6" s="1"/>
  <c r="B4" i="6"/>
  <c r="G4" i="6"/>
  <c r="H4" i="6" s="1"/>
  <c r="D4" i="6" s="1"/>
  <c r="S2492" i="5"/>
  <c r="B90" i="4"/>
  <c r="H67" i="4"/>
  <c r="P47" i="4"/>
  <c r="P46" i="4"/>
  <c r="B46" i="4" s="1"/>
  <c r="A31" i="6" s="1"/>
  <c r="P45" i="4"/>
  <c r="P44" i="4"/>
  <c r="P43" i="4"/>
  <c r="Q43" i="4" s="1"/>
  <c r="P41" i="4"/>
  <c r="B41" i="4" s="1"/>
  <c r="A27" i="6" s="1"/>
  <c r="P40" i="4"/>
  <c r="B40" i="4" s="1"/>
  <c r="P39" i="4"/>
  <c r="P38" i="4"/>
  <c r="P37" i="4"/>
  <c r="Q37" i="4" s="1"/>
  <c r="B49" i="4" s="1"/>
  <c r="A33" i="6" s="1"/>
  <c r="P35" i="4"/>
  <c r="P34" i="4"/>
  <c r="P33" i="4"/>
  <c r="P32" i="4"/>
  <c r="P31" i="4"/>
  <c r="Q31" i="4" s="1"/>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s="1"/>
  <c r="F64" i="6"/>
  <c r="G5" i="6"/>
  <c r="H5" i="6" s="1"/>
  <c r="D5" i="6" s="1"/>
  <c r="G17" i="6"/>
  <c r="H17" i="6" s="1"/>
  <c r="D17" i="6" s="1"/>
  <c r="G15" i="6"/>
  <c r="H15" i="6" s="1"/>
  <c r="B20" i="6"/>
  <c r="F25" i="6" s="1"/>
  <c r="F30" i="6" s="1"/>
  <c r="B21" i="6"/>
  <c r="G16" i="6"/>
  <c r="H16" i="6" s="1"/>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74"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s="1"/>
  <c r="B31" i="6"/>
  <c r="G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s="1"/>
  <c r="B42" i="6"/>
  <c r="G42" i="6" s="1"/>
  <c r="B40" i="6"/>
  <c r="G40" i="6" s="1"/>
  <c r="B50" i="6"/>
  <c r="G50" i="6" s="1"/>
  <c r="B25" i="6"/>
  <c r="G25" i="6" s="1"/>
  <c r="B35" i="6"/>
  <c r="G35" i="6" s="1"/>
  <c r="B39" i="6"/>
  <c r="G39" i="6" s="1"/>
  <c r="F24" i="6"/>
  <c r="B44" i="6"/>
  <c r="G44" i="6" s="1"/>
  <c r="H44" i="6" s="1"/>
  <c r="D44" i="6" s="1"/>
  <c r="G32" i="6"/>
  <c r="B49" i="6"/>
  <c r="G49" i="6" s="1"/>
  <c r="B34" i="6"/>
  <c r="G34" i="6" s="1"/>
  <c r="B29" i="6"/>
  <c r="G29" i="6" s="1"/>
  <c r="B24" i="6"/>
  <c r="G24" i="6" s="1"/>
  <c r="G19" i="6"/>
  <c r="H19" i="6" s="1"/>
  <c r="D19" i="6" s="1"/>
  <c r="G22" i="6"/>
  <c r="H22" i="6" s="1"/>
  <c r="B47" i="6"/>
  <c r="G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G20" i="6"/>
  <c r="H20" i="6" s="1"/>
  <c r="D20" i="6" s="1"/>
  <c r="B45" i="6"/>
  <c r="G45" i="6" s="1"/>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41" i="6"/>
  <c r="F36"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F52" i="6"/>
  <c r="F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984" i="5"/>
  <c r="F984" i="5"/>
  <c r="R984" i="5"/>
  <c r="J984" i="5"/>
  <c r="I984" i="5"/>
  <c r="F44" i="6"/>
  <c r="F39" i="6"/>
  <c r="F29" i="6"/>
  <c r="K65" i="6"/>
  <c r="D22" i="6"/>
  <c r="I27" i="5"/>
  <c r="E27" i="5"/>
  <c r="X27" i="5" s="1"/>
  <c r="F43" i="5"/>
  <c r="E43" i="5"/>
  <c r="X43" i="5" s="1"/>
  <c r="H87" i="5"/>
  <c r="E87" i="5"/>
  <c r="X87" i="5" s="1"/>
  <c r="F103" i="5"/>
  <c r="E103" i="5"/>
  <c r="X103" i="5" s="1"/>
  <c r="I175" i="5"/>
  <c r="E175" i="5"/>
  <c r="X175" i="5" s="1"/>
  <c r="X19" i="5"/>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G209" i="5"/>
  <c r="R379" i="5"/>
  <c r="E379" i="5"/>
  <c r="X379" i="5" s="1"/>
  <c r="H423" i="5"/>
  <c r="E423" i="5"/>
  <c r="X423" i="5" s="1"/>
  <c r="X72"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6" i="5"/>
  <c r="X6" i="5"/>
  <c r="R20"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7" i="5"/>
  <c r="AB7" i="5"/>
  <c r="AB8" i="5"/>
  <c r="AB9" i="5"/>
  <c r="AB10" i="5"/>
  <c r="AB11" i="5"/>
  <c r="AB12" i="5"/>
  <c r="AB13" i="5"/>
  <c r="AB14" i="5"/>
  <c r="AB15" i="5"/>
  <c r="AB16" i="5"/>
  <c r="AB17" i="5"/>
  <c r="AB18" i="5"/>
  <c r="AB22" i="5"/>
  <c r="G66" i="6" s="1"/>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3" i="5"/>
  <c r="R14" i="5"/>
  <c r="R15" i="5"/>
  <c r="R16" i="5"/>
  <c r="R17" i="5"/>
  <c r="R18" i="5"/>
  <c r="R19"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D6" i="6"/>
  <c r="A25" i="6"/>
  <c r="B51" i="4"/>
  <c r="A35" i="6" s="1"/>
  <c r="B50" i="4"/>
  <c r="A34" i="6" s="1"/>
  <c r="A17" i="6"/>
  <c r="D61" i="4"/>
  <c r="E209" i="5"/>
  <c r="X209" i="5" s="1"/>
  <c r="J209" i="5"/>
  <c r="R209" i="5"/>
  <c r="F209" i="5"/>
  <c r="H209" i="5"/>
  <c r="I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S20" i="5"/>
  <c r="S19" i="5"/>
  <c r="S9" i="5"/>
  <c r="T5" i="5"/>
  <c r="T7" i="5"/>
  <c r="S11" i="5"/>
  <c r="S13" i="5"/>
  <c r="S21" i="5"/>
  <c r="S17" i="5"/>
  <c r="S15" i="5"/>
  <c r="S14" i="5"/>
  <c r="S6" i="5"/>
  <c r="S16" i="5"/>
  <c r="G64" i="6" a="1"/>
  <c r="S10" i="5"/>
  <c r="S18" i="5"/>
  <c r="S8" i="5"/>
  <c r="S12" i="5"/>
  <c r="D55" i="4" l="1"/>
  <c r="D67" i="4"/>
  <c r="D31" i="4"/>
  <c r="X22" i="5"/>
  <c r="G69" i="6" a="1"/>
  <c r="G69" i="6" s="1"/>
  <c r="H69" i="6" s="1"/>
  <c r="G65" i="6"/>
  <c r="D49" i="4"/>
  <c r="D74" i="4"/>
  <c r="D43" i="4"/>
  <c r="G67" i="6"/>
  <c r="G68" i="6"/>
  <c r="B63" i="4"/>
  <c r="A45" i="6" s="1"/>
  <c r="B33" i="4"/>
  <c r="A20" i="6" s="1"/>
  <c r="H52" i="6"/>
  <c r="D52" i="6" s="1"/>
  <c r="H39" i="6"/>
  <c r="C39" i="6" s="1"/>
  <c r="H37" i="6"/>
  <c r="D37" i="6" s="1"/>
  <c r="H29" i="6"/>
  <c r="D29" i="6" s="1"/>
  <c r="B69" i="4"/>
  <c r="A50" i="6" s="1"/>
  <c r="B51" i="6"/>
  <c r="G51" i="6" s="1"/>
  <c r="B26" i="6"/>
  <c r="G26" i="6" s="1"/>
  <c r="H26" i="6" s="1"/>
  <c r="D26" i="6" s="1"/>
  <c r="B41" i="6"/>
  <c r="G41" i="6" s="1"/>
  <c r="H41" i="6" s="1"/>
  <c r="G21" i="6"/>
  <c r="H21" i="6" s="1"/>
  <c r="D21" i="6" s="1"/>
  <c r="B32" i="4"/>
  <c r="A19" i="6" s="1"/>
  <c r="F51" i="6"/>
  <c r="F67" i="6"/>
  <c r="F31" i="6"/>
  <c r="H31" i="6"/>
  <c r="D31" i="6" s="1"/>
  <c r="B67" i="4"/>
  <c r="A48" i="6" s="1"/>
  <c r="H30" i="6"/>
  <c r="D30" i="6" s="1"/>
  <c r="C52" i="6"/>
  <c r="K66" i="6"/>
  <c r="H36" i="6"/>
  <c r="D36" i="6" s="1"/>
  <c r="F54" i="6"/>
  <c r="H24" i="6"/>
  <c r="D24" i="6" s="1"/>
  <c r="F65" i="6"/>
  <c r="F49" i="6"/>
  <c r="H49" i="6" s="1"/>
  <c r="D49" i="6" s="1"/>
  <c r="F34" i="6"/>
  <c r="H34" i="6" s="1"/>
  <c r="D34" i="6" s="1"/>
  <c r="B89" i="4"/>
  <c r="A63" i="6" s="1"/>
  <c r="B43" i="4"/>
  <c r="A28" i="6" s="1"/>
  <c r="B37" i="4"/>
  <c r="A23" i="6" s="1"/>
  <c r="B83" i="4"/>
  <c r="A59" i="6" s="1"/>
  <c r="B79" i="4"/>
  <c r="A57" i="6" s="1"/>
  <c r="B77" i="4"/>
  <c r="A55" i="6" s="1"/>
  <c r="B31" i="4"/>
  <c r="A18" i="6" s="1"/>
  <c r="B87" i="4"/>
  <c r="A62" i="6" s="1"/>
  <c r="B85" i="4"/>
  <c r="A60" i="6" s="1"/>
  <c r="B55" i="4"/>
  <c r="A38" i="6" s="1"/>
  <c r="B75" i="4"/>
  <c r="A54" i="6" s="1"/>
  <c r="B81" i="4"/>
  <c r="A58" i="6" s="1"/>
  <c r="D39" i="6"/>
  <c r="F40" i="6"/>
  <c r="H40" i="6" s="1"/>
  <c r="D40" i="6" s="1"/>
  <c r="H46" i="6"/>
  <c r="D46" i="6" s="1"/>
  <c r="F66" i="6"/>
  <c r="H66" i="6" s="1"/>
  <c r="F50" i="6"/>
  <c r="H50" i="6" s="1"/>
  <c r="D50" i="6" s="1"/>
  <c r="F45" i="6"/>
  <c r="H45" i="6" s="1"/>
  <c r="D45" i="6" s="1"/>
  <c r="H25" i="6"/>
  <c r="D25" i="6" s="1"/>
  <c r="F35" i="6"/>
  <c r="H35" i="6" s="1"/>
  <c r="D35" i="6" s="1"/>
  <c r="K67" i="6"/>
  <c r="D16" i="6"/>
  <c r="H27" i="6"/>
  <c r="D27" i="6" s="1"/>
  <c r="F68" i="6"/>
  <c r="F32" i="6"/>
  <c r="H32" i="6" s="1"/>
  <c r="D32" i="6" s="1"/>
  <c r="F42" i="6"/>
  <c r="H42" i="6" s="1"/>
  <c r="D42" i="6" s="1"/>
  <c r="F47" i="6"/>
  <c r="H47" i="6" s="1"/>
  <c r="D47" i="6" s="1"/>
  <c r="B70" i="4"/>
  <c r="A51" i="6" s="1"/>
  <c r="B58" i="4"/>
  <c r="A41" i="6" s="1"/>
  <c r="B64" i="4"/>
  <c r="A46" i="6" s="1"/>
  <c r="C25" i="6"/>
  <c r="C36" i="6"/>
  <c r="C32" i="6"/>
  <c r="C17" i="6"/>
  <c r="C22" i="6"/>
  <c r="C19" i="6"/>
  <c r="C16" i="6"/>
  <c r="C30" i="6"/>
  <c r="C15" i="6"/>
  <c r="C26" i="6"/>
  <c r="C14" i="6"/>
  <c r="C29" i="6"/>
  <c r="C21" i="6"/>
  <c r="C20" i="6"/>
  <c r="C37" i="6"/>
  <c r="C44" i="6"/>
  <c r="B62" i="4"/>
  <c r="A44" i="6" s="1"/>
  <c r="B59" i="4"/>
  <c r="A42" i="6" s="1"/>
  <c r="C12" i="6"/>
  <c r="B56" i="4"/>
  <c r="A39" i="6" s="1"/>
  <c r="A16" i="6"/>
  <c r="B52" i="4"/>
  <c r="A36" i="6" s="1"/>
  <c r="A26" i="6"/>
  <c r="G67" i="4"/>
  <c r="G37" i="4"/>
  <c r="B68" i="4"/>
  <c r="A49" i="6" s="1"/>
  <c r="G49" i="4"/>
  <c r="B71" i="4"/>
  <c r="A52" i="6" s="1"/>
  <c r="C7" i="6"/>
  <c r="G61" i="4"/>
  <c r="B65" i="4"/>
  <c r="A47" i="6" s="1"/>
  <c r="C10" i="6"/>
  <c r="C8" i="6"/>
  <c r="G31" i="4"/>
  <c r="B53" i="4"/>
  <c r="A37" i="6" s="1"/>
  <c r="G43" i="4"/>
  <c r="G55" i="4"/>
  <c r="C9" i="6"/>
  <c r="C11" i="6"/>
  <c r="C5" i="6"/>
  <c r="C4" i="6"/>
  <c r="G64" i="6"/>
  <c r="S22" i="5"/>
  <c r="T21" i="5"/>
  <c r="T9" i="5"/>
  <c r="T16" i="5"/>
  <c r="T14" i="5"/>
  <c r="T11" i="5"/>
  <c r="T8" i="5"/>
  <c r="T13" i="5"/>
  <c r="T12" i="5"/>
  <c r="T20" i="5"/>
  <c r="T6" i="5"/>
  <c r="T19" i="5"/>
  <c r="T18" i="5"/>
  <c r="T10" i="5"/>
  <c r="T17" i="5"/>
  <c r="H67" i="6" l="1"/>
  <c r="C67" i="6" s="1"/>
  <c r="H68" i="6"/>
  <c r="D68" i="6" s="1"/>
  <c r="C45" i="6"/>
  <c r="C46" i="6"/>
  <c r="C42" i="6"/>
  <c r="D41" i="6"/>
  <c r="C41" i="6"/>
  <c r="H51" i="6"/>
  <c r="C31" i="6"/>
  <c r="C49" i="6"/>
  <c r="C50" i="6"/>
  <c r="C40" i="6"/>
  <c r="C35" i="6"/>
  <c r="C47" i="6"/>
  <c r="C24" i="6"/>
  <c r="C34" i="6"/>
  <c r="H65" i="6"/>
  <c r="B2" i="6"/>
  <c r="C2" i="6"/>
  <c r="C27" i="6"/>
  <c r="D66" i="6"/>
  <c r="C66" i="6"/>
  <c r="F62" i="6"/>
  <c r="H62" i="6" s="1"/>
  <c r="F59" i="6"/>
  <c r="H59" i="6" s="1"/>
  <c r="F58" i="6"/>
  <c r="H58" i="6" s="1"/>
  <c r="F55" i="6"/>
  <c r="F57" i="6"/>
  <c r="H57" i="6" s="1"/>
  <c r="F63" i="6"/>
  <c r="H63" i="6" s="1"/>
  <c r="F60" i="6"/>
  <c r="H60" i="6" s="1"/>
  <c r="H54" i="6"/>
  <c r="B64" i="6"/>
  <c r="H64" i="6"/>
  <c r="T22" i="5"/>
  <c r="D67" i="6" l="1"/>
  <c r="C68" i="6"/>
  <c r="D51" i="6"/>
  <c r="C51" i="6"/>
  <c r="D63" i="6"/>
  <c r="C63" i="6"/>
  <c r="D57" i="6"/>
  <c r="C57" i="6"/>
  <c r="D58" i="6"/>
  <c r="C58" i="6"/>
  <c r="D59" i="6"/>
  <c r="C59" i="6"/>
  <c r="D54" i="6"/>
  <c r="C54" i="6"/>
  <c r="D60" i="6"/>
  <c r="C60" i="6"/>
  <c r="H55" i="6"/>
  <c r="F56" i="6"/>
  <c r="H56" i="6" s="1"/>
  <c r="D62" i="6"/>
  <c r="C62" i="6"/>
  <c r="D65" i="6"/>
  <c r="C65" i="6"/>
  <c r="D64" i="6"/>
  <c r="C64"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<sst xmlns="http://schemas.openxmlformats.org/spreadsheetml/2006/main" count="22745" uniqueCount="15920">
  <si>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</si>
  <si>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</si>
  <si>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</si>
  <si>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</si>
  <si>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</si>
  <si>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</si>
  <si>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</si>
  <si>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</si>
  <si>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</si>
  <si>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</si>
  <si>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</si>
  <si>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</si>
  <si>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</si>
  <si>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</si>
  <si>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</si>
  <si>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</si>
  <si>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</si>
  <si>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</si>
  <si>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</si>
  <si>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</si>
  <si>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</si>
  <si>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</si>
  <si>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</si>
  <si>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</si>
  <si>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</si>
  <si>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</si>
  <si>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</si>
  <si>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</si>
  <si>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</si>
  <si>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</si>
  <si>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</si>
  <si>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</si>
  <si>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</si>
  <si>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</si>
  <si>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</si>
  <si>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</si>
  <si>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</si>
  <si>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</si>
  <si>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</si>
  <si>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</si>
  <si>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</si>
  <si>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</si>
  <si>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</si>
  <si>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</si>
  <si>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</si>
  <si>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</si>
  <si>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</si>
  <si>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</si>
  <si>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</si>
  <si>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</si>
  <si>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</si>
  <si>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</si>
  <si>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</si>
  <si>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</si>
  <si>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</si>
  <si>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</si>
  <si>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</si>
  <si>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</si>
  <si>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</si>
  <si>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</si>
  <si>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</si>
  <si>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</si>
  <si>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</si>
  <si>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</si>
  <si>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</si>
  <si>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</si>
  <si>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</si>
  <si>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</si>
  <si>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</si>
  <si>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</si>
  <si>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</si>
  <si>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</si>
  <si>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</si>
  <si>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</si>
  <si>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</si>
  <si>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</si>
  <si>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</si>
  <si>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</si>
  <si>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</si>
  <si>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</si>
  <si>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</si>
  <si>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</si>
  <si>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</si>
  <si>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</si>
  <si>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</si>
  <si>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</si>
  <si>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</si>
  <si>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</si>
  <si>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</si>
  <si>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</si>
  <si>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</si>
  <si>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</si>
  <si>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</si>
  <si>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</si>
  <si>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</si>
  <si>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</si>
  <si>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</si>
  <si>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</si>
  <si>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</si>
  <si>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</si>
  <si>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</si>
  <si>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</si>
  <si>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</si>
  <si>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</si>
  <si>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</si>
  <si>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</si>
  <si>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</si>
  <si>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</si>
  <si>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</si>
  <si>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</si>
  <si>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</si>
  <si>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</si>
  <si>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</si>
  <si>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</si>
  <si>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</si>
  <si>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</si>
  <si>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</si>
  <si>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</si>
  <si>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</si>
  <si>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</si>
  <si>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</si>
  <si>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</si>
  <si>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</si>
  <si>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</si>
  <si>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</si>
  <si>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</si>
  <si>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</si>
  <si>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</si>
  <si>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</si>
  <si>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</si>
  <si>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</si>
  <si>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</si>
  <si>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</si>
  <si>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</si>
  <si>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</si>
  <si>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</si>
  <si>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</si>
  <si>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</si>
  <si>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</si>
  <si>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</si>
  <si>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</si>
  <si>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</si>
  <si>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</si>
  <si>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</si>
  <si>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</si>
  <si>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</si>
  <si>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</si>
  <si>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</si>
  <si>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</si>
  <si>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</si>
  <si>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</si>
  <si>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</si>
  <si>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</si>
  <si>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</si>
  <si>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</si>
  <si>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</si>
  <si>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</si>
  <si>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</si>
  <si>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</si>
  <si>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</si>
  <si>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</si>
  <si>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</si>
  <si>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</si>
  <si>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</si>
  <si>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</si>
  <si>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</si>
  <si>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</si>
  <si>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</si>
  <si>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</si>
  <si>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</si>
  <si>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</si>
  <si>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</si>
  <si>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</si>
  <si>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</si>
  <si>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</si>
  <si>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</si>
  <si>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</si>
  <si>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</si>
  <si>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</si>
  <si>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</si>
  <si>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</si>
  <si>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</si>
  <si>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</si>
  <si>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</si>
  <si>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</si>
  <si>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</si>
  <si>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</si>
  <si>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</si>
  <si>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</si>
  <si>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</si>
  <si>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</si>
  <si>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</si>
  <si>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</si>
  <si>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</si>
  <si>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</si>
  <si>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</si>
  <si>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</si>
  <si>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</si>
  <si>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</si>
  <si>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</si>
  <si>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</si>
  <si>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</si>
  <si>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</si>
  <si>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</si>
  <si>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</si>
  <si>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</si>
  <si>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</si>
  <si>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</si>
  <si>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</si>
  <si>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</si>
  <si>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</si>
  <si>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</si>
  <si>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</si>
  <si>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</si>
  <si>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</si>
  <si>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</si>
  <si>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</si>
  <si>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</si>
  <si>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</si>
  <si>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</si>
  <si>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</si>
  <si>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</si>
  <si>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</si>
  <si>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</si>
  <si>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</si>
  <si>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</si>
  <si>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</si>
  <si>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</si>
  <si>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</si>
  <si>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</si>
  <si>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</si>
  <si>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</si>
  <si>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</si>
  <si>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</si>
  <si>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</si>
  <si>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</si>
  <si>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</si>
  <si>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</si>
  <si>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</si>
  <si>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</si>
  <si>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</si>
  <si>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</si>
  <si>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</si>
  <si>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</si>
  <si>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</si>
  <si>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</si>
  <si>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</si>
  <si>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</si>
  <si>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</si>
  <si>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</si>
  <si>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</si>
  <si>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</si>
  <si>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</si>
  <si>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</si>
  <si>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</si>
  <si>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</si>
  <si>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</si>
  <si>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</si>
  <si>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</si>
  <si>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</si>
  <si>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</si>
  <si>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</si>
  <si>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</si>
  <si>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</si>
  <si>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</si>
  <si>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</si>
  <si>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</si>
  <si>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</si>
  <si>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</si>
  <si>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</si>
  <si>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</si>
  <si>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</si>
  <si>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</si>
  <si>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</si>
  <si>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</si>
  <si>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</si>
  <si>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</si>
  <si>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</si>
  <si>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</si>
  <si>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</si>
  <si>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</si>
  <si>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</si>
  <si>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</si>
  <si>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</si>
  <si>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</si>
  <si>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</si>
  <si>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</si>
  <si>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</si>
  <si>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</si>
  <si>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</si>
  <si>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</si>
  <si>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</si>
  <si>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</si>
  <si>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</si>
  <si>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</si>
  <si>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</si>
  <si>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</si>
  <si>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</si>
  <si>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</si>
  <si>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</si>
  <si>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</si>
  <si>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</si>
  <si>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</si>
  <si>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</si>
  <si>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</si>
  <si>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</si>
  <si>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</si>
  <si>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</si>
  <si>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</si>
  <si>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</si>
  <si>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</si>
  <si>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</si>
  <si>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</si>
  <si>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</si>
  <si>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</si>
  <si>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</si>
  <si>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</si>
  <si>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</si>
  <si>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</si>
  <si>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</si>
  <si>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</si>
  <si>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</si>
  <si>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</si>
  <si>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</si>
  <si>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</si>
  <si>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</si>
  <si>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</si>
  <si>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</si>
  <si>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</si>
  <si>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</si>
  <si>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</si>
  <si>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</si>
  <si>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</si>
  <si>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</si>
  <si>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</si>
  <si>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</si>
  <si>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</si>
  <si>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</si>
  <si>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</si>
  <si>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</si>
  <si>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</si>
  <si>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</si>
  <si>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</si>
  <si>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</si>
  <si>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</si>
  <si>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</si>
  <si>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</si>
  <si>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</si>
  <si>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</si>
  <si>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</si>
  <si>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</si>
  <si>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</si>
  <si>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</si>
  <si>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</si>
  <si>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</si>
  <si>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</si>
  <si>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</si>
  <si>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</si>
  <si>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</si>
  <si>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</si>
  <si>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</si>
  <si>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</si>
  <si>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</si>
  <si>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</si>
  <si>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</si>
  <si>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</si>
  <si>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</si>
  <si>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</si>
  <si>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</si>
  <si>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</si>
  <si>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</si>
  <si>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</si>
  <si>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</si>
  <si>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</si>
  <si>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</si>
  <si>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</si>
  <si>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</si>
  <si>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</si>
  <si>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</si>
  <si>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</si>
  <si>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</si>
  <si>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</si>
  <si>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</si>
  <si>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</si>
  <si>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</si>
  <si>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</si>
  <si>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</si>
  <si>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</si>
  <si>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</si>
  <si>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</si>
  <si>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</si>
  <si>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</si>
  <si>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</si>
  <si>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</si>
  <si>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</si>
  <si>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</si>
  <si>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</si>
  <si>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</si>
  <si>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</si>
  <si>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</si>
  <si>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</si>
  <si>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</si>
  <si>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</si>
  <si>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</si>
  <si>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</si>
  <si>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</si>
  <si>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</si>
  <si>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</si>
  <si>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</si>
  <si>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</si>
  <si>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</si>
  <si>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</si>
  <si>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</si>
  <si>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</si>
  <si>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</si>
  <si>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</si>
  <si>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</si>
  <si>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</si>
  <si>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</si>
  <si>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</si>
  <si>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</si>
  <si>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</si>
  <si>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</si>
  <si>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</si>
  <si>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</si>
  <si>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</si>
  <si>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</si>
  <si>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</si>
  <si>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</si>
  <si>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</si>
  <si>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</si>
  <si>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</si>
  <si>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</si>
  <si>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</si>
  <si>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</si>
  <si>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</si>
  <si>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</si>
  <si>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</si>
  <si>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</si>
  <si>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</si>
  <si>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</si>
  <si>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</si>
  <si>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</si>
  <si>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</si>
  <si>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</si>
  <si>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</si>
  <si>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</si>
  <si>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</si>
  <si>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</si>
  <si>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</si>
  <si>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</si>
  <si>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</si>
  <si>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</si>
  <si>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</si>
  <si>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</si>
  <si>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</si>
  <si>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</si>
  <si>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</si>
  <si>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</si>
  <si>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</si>
  <si>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</si>
  <si>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</si>
  <si>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</si>
  <si>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</si>
  <si>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</si>
  <si>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</si>
  <si>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</si>
  <si>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</si>
  <si>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</si>
  <si>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</si>
  <si>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</si>
  <si>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</si>
  <si>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</si>
  <si>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</si>
  <si>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</si>
  <si>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</si>
  <si>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</si>
  <si>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</si>
  <si>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</si>
  <si>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</si>
  <si>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</si>
  <si>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</si>
  <si>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</si>
  <si>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</si>
  <si>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</si>
  <si>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</si>
  <si>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</si>
  <si>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</si>
  <si>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</si>
  <si>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</si>
  <si>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</si>
  <si>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</si>
  <si>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</si>
  <si>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</si>
  <si>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</si>
  <si>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</si>
  <si>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</si>
  <si>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</si>
  <si>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</si>
  <si>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</si>
  <si>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</si>
  <si>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</si>
  <si>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</si>
  <si>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</si>
  <si>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</si>
  <si>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</si>
  <si>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</si>
  <si>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</si>
  <si>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</si>
  <si>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</si>
  <si>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</si>
  <si>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</si>
  <si>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</si>
  <si>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</si>
  <si>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</si>
  <si>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</si>
  <si>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</si>
  <si>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</si>
  <si>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</si>
  <si>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</si>
  <si>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</si>
  <si>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</si>
  <si>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</si>
  <si>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</si>
  <si>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</si>
  <si>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</si>
  <si>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</si>
  <si>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</si>
  <si>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</si>
  <si>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</si>
  <si>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</si>
  <si>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</si>
  <si>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</si>
  <si>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</si>
  <si>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</si>
  <si>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</si>
  <si>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</si>
  <si>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</si>
  <si>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</si>
  <si>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</si>
  <si>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</si>
  <si>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</si>
  <si>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</si>
  <si>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</si>
  <si>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</si>
  <si>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</si>
  <si>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</si>
  <si>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</si>
  <si>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</si>
  <si>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</si>
  <si>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</si>
  <si>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</si>
  <si>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</si>
  <si>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</si>
  <si>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</si>
  <si>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</si>
  <si>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</si>
  <si>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</si>
  <si>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</si>
  <si>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</si>
  <si>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</si>
  <si>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</si>
  <si>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</si>
  <si>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</si>
  <si>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</si>
  <si>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</si>
  <si>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</si>
  <si>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</si>
  <si>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</si>
  <si>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</si>
  <si>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</si>
  <si>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</si>
  <si>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</si>
  <si>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</si>
  <si>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</si>
  <si>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</si>
  <si>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</si>
  <si>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</si>
  <si>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</si>
  <si>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</si>
  <si>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</si>
  <si>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</si>
  <si>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</si>
  <si>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</si>
  <si>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</si>
  <si>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</si>
  <si>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</si>
  <si>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</si>
  <si>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</si>
  <si>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</si>
  <si>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</si>
  <si>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</si>
  <si>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</si>
  <si>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</si>
  <si>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</si>
  <si>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</si>
  <si>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</si>
  <si>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</si>
  <si>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</si>
  <si>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</si>
  <si>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</si>
  <si>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</si>
  <si>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</si>
  <si>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</si>
  <si>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</si>
  <si>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</si>
  <si>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</si>
  <si>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</si>
  <si>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</si>
  <si>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</si>
  <si>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</si>
  <si>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</si>
  <si>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</si>
  <si>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</si>
  <si>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</si>
  <si>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</si>
  <si>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</si>
  <si>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</si>
  <si>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</si>
  <si>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</si>
  <si>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</si>
  <si>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</si>
  <si>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</si>
  <si>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</si>
  <si>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</si>
  <si>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</si>
  <si>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</si>
  <si>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</si>
  <si>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</si>
  <si>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</si>
  <si>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</si>
  <si>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</si>
  <si>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</si>
  <si>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</si>
  <si>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</si>
  <si>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</si>
  <si>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</si>
  <si>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</si>
  <si>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</si>
  <si>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</si>
  <si>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</si>
  <si>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</si>
  <si>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</si>
  <si>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</si>
  <si>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</si>
  <si>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</si>
  <si>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</si>
  <si>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</si>
  <si>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</si>
  <si>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</si>
  <si>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</si>
  <si>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</si>
  <si>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</si>
  <si>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</si>
  <si>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</si>
  <si>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</si>
  <si>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</si>
  <si>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</si>
  <si>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</si>
  <si>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</si>
  <si>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</si>
  <si>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</si>
  <si>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</si>
  <si>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</si>
  <si>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</si>
  <si>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</si>
  <si>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</si>
  <si>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</si>
  <si>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</si>
  <si>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</si>
  <si>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</si>
  <si>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</si>
  <si>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</si>
  <si>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</si>
  <si>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</si>
  <si>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</si>
  <si>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</si>
  <si>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</si>
  <si>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</si>
  <si>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</si>
  <si>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</si>
  <si>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</si>
  <si>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</si>
  <si>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</si>
  <si>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</si>
  <si>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</si>
  <si>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</si>
  <si>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</si>
  <si>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</si>
  <si>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</si>
  <si>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</si>
  <si>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</si>
  <si>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</si>
  <si>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</si>
  <si>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</si>
  <si>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</si>
  <si>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</si>
  <si>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</si>
  <si>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</si>
  <si>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</si>
  <si>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</si>
  <si>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</si>
  <si>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</si>
  <si>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</si>
  <si>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</si>
  <si>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</si>
  <si>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</si>
  <si>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</si>
  <si>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</si>
  <si>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</si>
  <si>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</si>
  <si>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</si>
  <si>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</si>
  <si>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</si>
  <si>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</si>
  <si>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</si>
  <si>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</si>
  <si>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</si>
  <si>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</si>
  <si>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</si>
  <si>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</si>
  <si>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</si>
  <si>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</si>
  <si>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</si>
  <si>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</si>
  <si>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</si>
  <si>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</si>
  <si>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</si>
  <si>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</si>
  <si>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</si>
  <si>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</si>
  <si>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</si>
  <si>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</si>
  <si>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</si>
  <si>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</si>
  <si>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</si>
  <si>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</si>
  <si>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</si>
  <si>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</si>
  <si>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</si>
  <si>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</si>
  <si>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</si>
  <si>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</si>
  <si>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</si>
  <si>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</si>
  <si>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</si>
  <si>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</si>
  <si>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</si>
  <si>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</si>
  <si>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</si>
  <si>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</si>
  <si>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</si>
  <si>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</si>
  <si>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</si>
  <si>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</si>
  <si>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</si>
  <si>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</si>
  <si>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</si>
  <si>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</si>
  <si>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</si>
  <si>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</si>
  <si>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</si>
  <si>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</si>
  <si>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</si>
  <si>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</si>
  <si>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</si>
  <si>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</si>
  <si>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</si>
  <si>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</si>
  <si>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</si>
  <si>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</si>
  <si>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</si>
  <si>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</si>
  <si>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</si>
  <si>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</si>
  <si>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</si>
  <si>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</si>
  <si>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</si>
  <si>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</si>
  <si>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</si>
  <si>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</si>
  <si>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</si>
  <si>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</si>
  <si>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</si>
  <si>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</si>
  <si>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</si>
  <si>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</si>
  <si>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</si>
  <si>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</si>
  <si>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</si>
  <si>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</si>
  <si>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</si>
  <si>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</si>
  <si>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</si>
  <si>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</si>
  <si>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</si>
  <si>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</si>
  <si>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</si>
  <si>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</si>
  <si>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</si>
  <si>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</si>
  <si>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</si>
  <si>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</si>
  <si>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</si>
  <si>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</si>
  <si>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</si>
  <si>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</si>
  <si>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</si>
  <si>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</si>
  <si>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</si>
  <si>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</si>
  <si>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</si>
  <si>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</si>
  <si>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</si>
  <si>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</si>
  <si>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</si>
  <si>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</si>
  <si>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</si>
  <si>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</si>
  <si>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</si>
  <si>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</si>
  <si>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</si>
  <si>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</si>
  <si>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</si>
  <si>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</si>
  <si>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</si>
  <si>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</si>
  <si>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</si>
  <si>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</si>
  <si>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</si>
  <si>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</si>
  <si>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</si>
  <si>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</si>
  <si>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</si>
  <si>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</si>
  <si>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</si>
  <si>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</si>
  <si>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</si>
  <si>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</si>
  <si>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</si>
  <si>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</si>
  <si>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</si>
  <si>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</si>
  <si>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</si>
  <si>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</si>
  <si>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</si>
  <si>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</si>
  <si>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</si>
  <si>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</si>
  <si>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</si>
  <si>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</si>
  <si>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</si>
  <si>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</si>
  <si>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</si>
  <si>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</si>
  <si>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</si>
  <si>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</si>
  <si>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</si>
  <si>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</si>
  <si>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</si>
  <si>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</si>
  <si>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</si>
  <si>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</si>
  <si>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</si>
  <si>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</si>
  <si>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</si>
  <si>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</si>
  <si>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</si>
  <si>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</si>
  <si>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</si>
  <si>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</si>
  <si>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</si>
  <si>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</si>
  <si>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</si>
  <si>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</si>
  <si>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</si>
  <si>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</si>
  <si>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</si>
  <si>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</si>
  <si>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</si>
  <si>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</si>
  <si>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</si>
  <si>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</si>
  <si>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</si>
  <si>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</si>
  <si>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</si>
  <si>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</si>
  <si>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</si>
  <si>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</si>
  <si>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</si>
  <si>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</si>
  <si>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</si>
  <si>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</si>
  <si>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</si>
  <si>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</si>
  <si>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</si>
  <si>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</si>
  <si>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</si>
  <si>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</si>
  <si>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</si>
  <si>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</si>
  <si>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</si>
  <si>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</si>
  <si>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</si>
  <si>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</si>
  <si>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</si>
  <si>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</si>
  <si>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</si>
  <si>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</si>
  <si>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</si>
  <si>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</si>
  <si>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</si>
  <si>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</si>
  <si>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</si>
  <si>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</si>
  <si>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</si>
  <si>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</si>
  <si>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</si>
  <si>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</si>
  <si>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</si>
  <si>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</si>
  <si>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</si>
  <si>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</si>
  <si>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</si>
  <si>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</si>
  <si>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</si>
  <si>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</si>
  <si>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</si>
  <si>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</si>
  <si>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</si>
  <si>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</si>
  <si>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</si>
  <si>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</si>
  <si>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</si>
  <si>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</si>
  <si>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</si>
  <si>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</si>
  <si>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</si>
  <si>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</si>
  <si>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</si>
  <si>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</si>
  <si>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</si>
  <si>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</si>
  <si>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</si>
  <si>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</si>
  <si>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</si>
  <si>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</si>
  <si>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</si>
  <si>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</si>
  <si>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</si>
  <si>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</si>
  <si>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</si>
  <si>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</si>
  <si>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</si>
  <si>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</si>
  <si>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</si>
  <si>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</si>
  <si>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</si>
  <si>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</si>
  <si>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</si>
  <si>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</si>
  <si>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</si>
  <si>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</si>
  <si>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</si>
  <si>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</si>
  <si>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</si>
  <si>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</si>
  <si>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</si>
  <si>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</si>
  <si>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</si>
  <si>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</si>
  <si>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</si>
  <si>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</si>
  <si>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</si>
  <si>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</si>
  <si>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</si>
  <si>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</si>
  <si>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</si>
  <si>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</si>
  <si>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</si>
  <si>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</si>
  <si>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</si>
  <si>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</si>
  <si>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</si>
  <si>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</si>
  <si>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</si>
  <si>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</si>
  <si>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</si>
  <si>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</si>
  <si>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</si>
  <si>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</si>
  <si>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</si>
  <si>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</si>
  <si>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</si>
  <si>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</si>
  <si>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</si>
  <si>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</si>
  <si>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</si>
  <si>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</si>
  <si>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</si>
  <si>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</si>
  <si>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</si>
  <si>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</si>
  <si>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</si>
  <si>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</si>
  <si>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</si>
  <si>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</si>
  <si>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</si>
  <si>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</si>
  <si>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</si>
  <si>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</si>
  <si>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</si>
  <si>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</si>
  <si>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</si>
  <si>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</si>
  <si>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</si>
  <si>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</si>
  <si>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</si>
  <si>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</si>
  <si>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</si>
  <si>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</si>
  <si>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</si>
  <si>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</si>
  <si>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</si>
  <si>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</si>
  <si>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</si>
  <si>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</si>
  <si>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</si>
  <si>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</si>
  <si>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</si>
  <si>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</si>
  <si>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</si>
  <si>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</si>
  <si>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</si>
  <si>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</si>
  <si>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</si>
  <si>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</si>
  <si>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</si>
  <si>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</si>
  <si>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</si>
  <si>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</si>
  <si>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</si>
  <si>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</si>
  <si>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</si>
  <si>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</si>
  <si>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</si>
  <si>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</si>
  <si>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</si>
  <si>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</si>
  <si>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</si>
  <si>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</si>
  <si>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</si>
  <si>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</si>
  <si>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</si>
  <si>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</si>
  <si>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</si>
  <si>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</si>
  <si>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</si>
  <si>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</si>
  <si>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</si>
  <si>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</si>
  <si>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</si>
  <si>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</si>
  <si>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</si>
  <si>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</si>
  <si>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</si>
  <si>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</si>
  <si>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</si>
  <si>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</si>
  <si>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</si>
  <si>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</si>
  <si>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</si>
  <si>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</si>
  <si>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</si>
  <si>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</si>
  <si>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</si>
  <si>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</si>
  <si>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</si>
  <si>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</si>
  <si>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</si>
  <si>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</si>
  <si>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</si>
  <si>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</si>
  <si>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</si>
  <si>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</si>
  <si>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</si>
  <si>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</si>
  <si>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</si>
  <si>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</si>
  <si>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</si>
  <si>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</si>
  <si>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</si>
  <si>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</si>
  <si>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</si>
  <si>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</si>
  <si>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</si>
  <si>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</si>
  <si>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</si>
  <si>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</si>
  <si>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</si>
  <si>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</si>
  <si>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</si>
  <si>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</si>
  <si>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</si>
  <si>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</si>
  <si>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</si>
  <si>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</si>
  <si>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</si>
  <si>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</si>
  <si>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</si>
  <si>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</si>
  <si>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</si>
  <si>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</si>
  <si>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</si>
  <si>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</si>
  <si>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</si>
  <si>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</si>
  <si>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</si>
  <si>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</si>
  <si>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</si>
  <si>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</si>
  <si>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</si>
  <si>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</si>
  <si>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</si>
  <si>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</si>
  <si>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</si>
  <si>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</si>
  <si>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</si>
  <si>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</si>
  <si>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</si>
  <si>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</si>
  <si>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</si>
  <si>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</si>
  <si>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</si>
  <si>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</si>
  <si>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</si>
  <si>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</si>
  <si>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</si>
  <si>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</si>
  <si>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</si>
  <si>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</si>
  <si>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</si>
  <si>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</si>
  <si>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</si>
  <si>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</si>
  <si>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</si>
  <si>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</si>
  <si>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</si>
  <si>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</si>
  <si>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</si>
  <si>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</si>
  <si>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</si>
  <si>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</si>
  <si>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</si>
  <si>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</si>
  <si>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</si>
  <si>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</si>
  <si>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</si>
  <si>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</si>
  <si>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</si>
  <si>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</si>
  <si>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</si>
  <si>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</si>
  <si>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</si>
  <si>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</si>
  <si>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</si>
  <si>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</si>
  <si>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</si>
  <si>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</si>
  <si>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</si>
  <si>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</si>
  <si>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</si>
  <si>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</si>
  <si>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</si>
  <si>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</si>
  <si>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</si>
  <si>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</si>
  <si>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</si>
  <si>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</si>
  <si>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</si>
  <si>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</si>
  <si>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</si>
  <si>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</si>
  <si>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</si>
  <si>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</si>
  <si>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</si>
  <si>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</si>
  <si>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</si>
  <si>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</si>
  <si>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</si>
  <si>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</si>
  <si>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</si>
  <si>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</si>
  <si>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</si>
  <si>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</si>
  <si>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</si>
  <si>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</si>
  <si>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</si>
  <si>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</si>
  <si>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</si>
  <si>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</si>
  <si>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</si>
  <si>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</si>
  <si>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</si>
  <si>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</si>
  <si>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</si>
  <si>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</si>
  <si>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</si>
  <si>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</si>
  <si>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</si>
  <si>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</si>
  <si>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</si>
  <si>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</si>
  <si>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</si>
  <si>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</si>
  <si>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</si>
  <si>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</si>
  <si>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</si>
  <si>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</si>
  <si>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</si>
  <si>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</si>
  <si>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</si>
  <si>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</si>
  <si>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</si>
  <si>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</si>
  <si>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</si>
  <si>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</si>
  <si>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</si>
  <si>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</si>
  <si>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</si>
  <si>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</si>
  <si>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</si>
  <si>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</si>
  <si>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</si>
  <si>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</si>
  <si>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</si>
  <si>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</si>
  <si>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</si>
  <si>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</si>
  <si>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</si>
  <si>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</si>
  <si>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</si>
  <si>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</si>
  <si>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</si>
  <si>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</si>
  <si>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</si>
  <si>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</si>
  <si>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</si>
  <si>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</si>
  <si>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</si>
  <si>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</si>
  <si>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</si>
  <si>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</si>
  <si>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</si>
  <si>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</si>
  <si>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</si>
  <si>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</si>
  <si>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</si>
  <si>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</si>
  <si>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</si>
  <si>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</si>
  <si>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</si>
  <si>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</si>
  <si>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</si>
  <si>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</si>
  <si>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</si>
  <si>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</si>
  <si>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</si>
  <si>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</si>
  <si>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</si>
  <si>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</si>
  <si>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</si>
  <si>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</si>
  <si>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</si>
  <si>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</si>
  <si>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</si>
  <si>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</si>
  <si>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</si>
  <si>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</si>
  <si>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</si>
  <si>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</si>
  <si>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</si>
  <si>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</si>
  <si>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</si>
  <si>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</si>
  <si>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</si>
  <si>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</si>
  <si>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</si>
  <si>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</si>
  <si>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</si>
  <si>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</si>
  <si>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</si>
  <si>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</si>
  <si>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</si>
  <si>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</si>
  <si>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</si>
  <si>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</si>
  <si>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</si>
  <si>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</si>
  <si>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</si>
  <si>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</si>
  <si>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</si>
  <si>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</si>
  <si>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</si>
  <si>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</si>
  <si>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</si>
  <si>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</si>
  <si>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</si>
  <si>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</si>
  <si>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</si>
  <si>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</si>
  <si>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</si>
  <si>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</si>
  <si>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</si>
  <si>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</si>
  <si>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</si>
  <si>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</si>
  <si>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</si>
  <si>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</si>
  <si>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</si>
  <si>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</si>
  <si>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</si>
  <si>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</si>
  <si>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</si>
  <si>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</si>
  <si>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</si>
  <si>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</si>
  <si>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</si>
  <si>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</si>
  <si>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</si>
  <si>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</si>
  <si>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</si>
  <si>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</si>
  <si>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</si>
  <si>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</si>
  <si>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</si>
  <si>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</si>
  <si>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</si>
  <si>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</si>
  <si>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</si>
  <si>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</si>
  <si>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</si>
  <si>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</si>
  <si>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</si>
  <si>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</si>
  <si>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</si>
  <si>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</si>
  <si>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</si>
  <si>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</si>
  <si>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</si>
  <si>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</si>
  <si>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</si>
  <si>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</si>
  <si>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</si>
  <si>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</si>
  <si>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</si>
  <si>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</si>
  <si>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</si>
  <si>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</si>
  <si>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</si>
  <si>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</si>
  <si>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</si>
  <si>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</si>
  <si>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</si>
  <si>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</si>
  <si>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</si>
  <si>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</si>
  <si>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</si>
  <si>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</si>
  <si>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</si>
  <si>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</si>
  <si>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</si>
  <si>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</si>
  <si>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</si>
  <si>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</si>
  <si>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</si>
  <si>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</si>
  <si>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</si>
  <si>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</si>
  <si>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</si>
  <si>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</si>
  <si>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</si>
  <si>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</si>
  <si>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</si>
  <si>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</si>
  <si>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</si>
  <si>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</si>
  <si>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</si>
  <si>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</si>
  <si>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</si>
  <si>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</si>
  <si>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</si>
  <si>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</si>
  <si>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</si>
  <si>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</si>
  <si>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</si>
  <si>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</si>
  <si>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</si>
  <si>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</si>
  <si>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</si>
  <si>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</si>
  <si>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</si>
  <si>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</si>
  <si>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</si>
  <si>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</si>
  <si>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</si>
  <si>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</si>
  <si>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</si>
  <si>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</si>
  <si>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</si>
  <si>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</si>
  <si>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</si>
  <si>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</si>
  <si>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</si>
  <si>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</si>
  <si>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</si>
  <si>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</si>
  <si>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</si>
  <si>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</si>
  <si>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</si>
  <si>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</si>
  <si>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</si>
  <si>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</si>
  <si>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</si>
  <si>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</si>
  <si>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</si>
  <si>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</si>
  <si>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</si>
  <si>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</si>
  <si>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</si>
  <si>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</si>
  <si>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</si>
  <si>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</si>
  <si>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</si>
  <si>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</si>
  <si>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</si>
  <si>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</si>
  <si>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</si>
  <si>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</si>
  <si>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</si>
  <si>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</si>
  <si>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</si>
  <si>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</si>
  <si>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</si>
  <si>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</si>
  <si>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</si>
  <si>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</si>
  <si>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</si>
  <si>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</si>
  <si>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</si>
  <si>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</si>
  <si>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</si>
  <si>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</si>
  <si>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</si>
  <si>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</si>
  <si>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</si>
  <si>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</si>
  <si>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</si>
  <si>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</si>
  <si>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</si>
  <si>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</si>
  <si>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</si>
  <si>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</si>
  <si>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</si>
  <si>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</si>
  <si>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</si>
  <si>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</si>
  <si>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</si>
  <si>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</si>
  <si>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</si>
  <si>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</si>
  <si>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</si>
  <si>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</si>
  <si>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</si>
  <si>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</si>
  <si>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</si>
  <si>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</si>
  <si>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</si>
  <si>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</si>
  <si>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</si>
  <si>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</si>
  <si>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</si>
  <si>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</si>
  <si>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</si>
  <si>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</si>
  <si>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</si>
  <si>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</si>
  <si>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</si>
  <si>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</si>
  <si>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</si>
  <si>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</si>
  <si>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</si>
  <si>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</si>
  <si>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</si>
  <si>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</si>
  <si>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</si>
  <si>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</si>
  <si>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</si>
  <si>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</si>
  <si>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</si>
  <si>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</si>
  <si>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</si>
  <si>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</si>
  <si>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</si>
  <si>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</si>
  <si>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</si>
  <si>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</si>
  <si>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</si>
  <si>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</si>
  <si>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</si>
  <si>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</si>
  <si>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</si>
  <si>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</si>
  <si>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</si>
  <si>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</si>
  <si>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</si>
  <si>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</si>
  <si>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</si>
  <si>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</si>
  <si>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</si>
  <si>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</si>
  <si>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</si>
  <si>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</si>
  <si>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</si>
  <si>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</si>
  <si>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</si>
  <si>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</si>
  <si>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</si>
  <si>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</si>
  <si>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</si>
  <si>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</si>
  <si>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</si>
  <si>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</si>
  <si>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</si>
  <si>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</si>
  <si>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</si>
  <si>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</si>
  <si>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</si>
  <si>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</si>
  <si>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</si>
  <si>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</si>
  <si>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</si>
  <si>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</si>
  <si>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</si>
  <si>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</si>
  <si>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</si>
  <si>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</si>
  <si>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</si>
  <si>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</si>
  <si>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</si>
  <si>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</si>
  <si>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</si>
  <si>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</si>
  <si>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</si>
  <si>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</si>
  <si>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</si>
  <si>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</si>
  <si>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</si>
  <si>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</si>
  <si>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</si>
  <si>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</si>
  <si>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</si>
  <si>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</si>
  <si>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</si>
  <si>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</si>
  <si>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</si>
  <si>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</si>
  <si>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</si>
  <si>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</si>
  <si>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</si>
  <si>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</si>
  <si>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</si>
  <si>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</si>
  <si>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</si>
  <si>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</si>
  <si>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</si>
  <si>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</si>
  <si>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</si>
  <si>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</si>
  <si>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</si>
  <si>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</si>
  <si>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</si>
  <si>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</si>
  <si>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</si>
  <si>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</si>
  <si>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</si>
  <si>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</si>
  <si>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</si>
  <si>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</si>
  <si>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</si>
  <si>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</si>
  <si>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</si>
  <si>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</si>
  <si>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</si>
  <si>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</si>
  <si>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</si>
  <si>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</si>
  <si>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</si>
  <si>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</si>
  <si>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</si>
  <si>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</si>
  <si>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</si>
  <si>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</si>
  <si>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</si>
  <si>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</si>
  <si>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</si>
  <si>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</si>
  <si>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</si>
  <si>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</si>
  <si>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</si>
  <si>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</si>
  <si>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</si>
  <si>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</si>
  <si>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</si>
  <si>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</si>
  <si>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</si>
  <si>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</si>
  <si>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</si>
  <si>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</si>
  <si>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</si>
  <si>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</si>
  <si>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</si>
  <si>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</si>
  <si>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</si>
  <si>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</si>
  <si>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</si>
  <si>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</si>
  <si>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</si>
  <si>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</si>
  <si>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</si>
  <si>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</si>
  <si>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</si>
  <si>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</si>
  <si>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</si>
  <si>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</si>
  <si>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</si>
  <si>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</si>
  <si>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</si>
  <si>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</si>
  <si>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</si>
  <si>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</si>
  <si>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</si>
  <si>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</si>
  <si>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</si>
  <si>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</si>
  <si>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</si>
  <si>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</si>
  <si>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</si>
  <si>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</si>
  <si>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</si>
  <si>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</si>
  <si>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</si>
  <si>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</si>
  <si>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</si>
  <si>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</si>
  <si>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</si>
  <si>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</si>
  <si>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</si>
  <si>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</si>
  <si>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</si>
  <si>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</si>
  <si>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</si>
  <si>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</si>
  <si>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</si>
  <si>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</si>
  <si>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</si>
  <si>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</si>
  <si>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</si>
  <si>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</si>
  <si>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</si>
  <si>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</si>
  <si>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</si>
  <si>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</si>
  <si>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</si>
  <si>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</si>
  <si>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</si>
  <si>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</si>
  <si>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</si>
  <si>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</si>
  <si>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</si>
  <si>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</si>
  <si>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</si>
  <si>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</si>
  <si>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</si>
  <si>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</si>
  <si>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</si>
  <si>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</si>
  <si>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</si>
  <si>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</si>
  <si>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</si>
  <si>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</si>
  <si>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</si>
  <si>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</si>
  <si>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</si>
  <si>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</si>
  <si>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</si>
  <si>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</si>
  <si>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</si>
  <si>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</si>
  <si>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</si>
  <si>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</si>
  <si>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</si>
  <si>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</si>
  <si>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</si>
  <si>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</si>
  <si>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</si>
  <si>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</si>
  <si>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</si>
  <si>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</si>
  <si>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</si>
  <si>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</si>
  <si>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</si>
  <si>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</si>
  <si>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</si>
  <si>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</si>
  <si>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</si>
  <si>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</si>
  <si>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</si>
  <si>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</si>
  <si>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</si>
  <si>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</si>
  <si>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</si>
  <si>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</si>
  <si>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</si>
  <si>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</si>
  <si>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</si>
  <si>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</si>
  <si>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</si>
  <si>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</si>
  <si>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</si>
  <si>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</si>
  <si>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</si>
  <si>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</si>
  <si>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</si>
  <si>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</si>
  <si>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</si>
  <si>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</si>
  <si>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</si>
  <si>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</si>
  <si>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</si>
  <si>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</si>
  <si>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</si>
  <si>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</si>
  <si>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</si>
  <si>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</si>
  <si>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</si>
  <si>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</si>
  <si>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</si>
  <si>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</si>
  <si>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</si>
  <si>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</si>
  <si>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</si>
  <si>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</si>
  <si>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</si>
  <si>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</si>
  <si>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</si>
  <si>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</si>
  <si>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</si>
  <si>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</si>
  <si>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</si>
  <si>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</si>
  <si>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</si>
  <si>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</si>
  <si>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</si>
  <si>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</si>
  <si>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</si>
  <si>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</si>
  <si>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</si>
  <si>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</si>
  <si>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</si>
  <si>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</si>
  <si>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</si>
  <si>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</si>
  <si>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</si>
  <si>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</si>
  <si>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</si>
  <si>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</si>
  <si>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</si>
  <si>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</si>
  <si>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</si>
  <si>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</si>
  <si>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</si>
  <si>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</si>
  <si>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</si>
  <si>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</si>
  <si>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</si>
  <si>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</si>
  <si>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</si>
  <si>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</si>
  <si>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</si>
  <si>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</si>
  <si>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</si>
  <si>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</si>
  <si>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</si>
  <si>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</si>
  <si>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</si>
  <si>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</si>
  <si>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</si>
  <si>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</si>
  <si>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</si>
  <si>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</si>
  <si>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</si>
  <si>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</si>
  <si>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</si>
  <si>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</si>
  <si>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</si>
  <si>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</si>
  <si>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</si>
  <si>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</si>
  <si>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</si>
  <si>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</si>
  <si>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</si>
  <si>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</si>
  <si>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</si>
  <si>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</si>
  <si>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</si>
  <si>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</si>
  <si>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</si>
  <si>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</si>
  <si>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</si>
  <si>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</si>
  <si>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</si>
  <si>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</si>
  <si>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</si>
  <si>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</si>
  <si>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</si>
  <si>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</si>
  <si>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</si>
  <si>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</si>
  <si>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</si>
  <si>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</si>
  <si>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</si>
  <si>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</si>
  <si>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</si>
  <si>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</si>
  <si>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</si>
  <si>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</si>
  <si>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</si>
  <si>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</si>
  <si>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</si>
  <si>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</si>
  <si>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</si>
  <si>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</si>
  <si>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</si>
  <si>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</si>
  <si>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</si>
  <si>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</si>
  <si>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</si>
  <si>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</si>
  <si>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</si>
  <si>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</si>
  <si>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</si>
  <si>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</si>
  <si>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</si>
  <si>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</si>
  <si>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</si>
  <si>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</si>
  <si>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</si>
  <si>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</si>
  <si>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</si>
  <si>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</si>
  <si>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</si>
  <si>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</si>
  <si>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</si>
  <si>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</si>
  <si>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</si>
  <si>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</si>
  <si>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</si>
  <si>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</si>
  <si>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</si>
  <si>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</si>
  <si>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</si>
  <si>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</si>
  <si>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</si>
  <si>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</si>
  <si>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</si>
  <si>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</si>
  <si>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</si>
  <si>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</si>
  <si>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</si>
  <si>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</si>
  <si>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</si>
  <si>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</si>
  <si>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</si>
  <si>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</si>
  <si>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</si>
  <si>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</si>
  <si>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</si>
  <si>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</si>
  <si>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</si>
  <si>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</si>
  <si>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</si>
  <si>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</si>
  <si>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</si>
  <si>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</si>
  <si>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</si>
  <si>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</si>
  <si>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</si>
  <si>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</si>
  <si>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</si>
  <si>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</si>
  <si>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</si>
  <si>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</si>
  <si>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</si>
  <si>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</si>
  <si>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</si>
  <si>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</si>
  <si>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</si>
  <si>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</si>
  <si>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</si>
  <si>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</si>
  <si>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</si>
  <si>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</si>
  <si>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</si>
  <si>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</si>
  <si>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</si>
  <si>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</si>
  <si>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</si>
  <si>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</si>
  <si>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</si>
  <si>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</si>
  <si>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</si>
  <si>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</si>
  <si>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</si>
  <si>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</si>
  <si>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</si>
  <si>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</si>
  <si>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</si>
  <si>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</si>
  <si>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</si>
  <si>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</si>
  <si>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</si>
  <si>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</si>
  <si>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</si>
  <si>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</si>
  <si>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</si>
  <si>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</si>
  <si>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</si>
  <si>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</si>
  <si>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</si>
  <si>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</si>
  <si>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</si>
  <si>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</si>
  <si>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</si>
  <si>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</si>
  <si>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</si>
  <si>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</si>
  <si>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</si>
  <si>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</si>
  <si>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</si>
  <si>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</si>
  <si>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</si>
  <si>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</si>
  <si>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</si>
  <si>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</si>
  <si>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</si>
  <si>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</si>
  <si>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</si>
  <si>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</si>
  <si>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</si>
  <si>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</si>
  <si>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</si>
  <si>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</si>
  <si>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</si>
  <si>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</si>
  <si>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</si>
  <si>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</si>
  <si>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</si>
  <si>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</si>
  <si>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</si>
  <si>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</si>
  <si>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</si>
  <si>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</si>
  <si>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</si>
  <si>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</si>
  <si>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</si>
  <si>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</si>
  <si>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</si>
  <si>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</si>
  <si>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</si>
  <si>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</si>
  <si>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</si>
  <si>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</si>
  <si>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</si>
  <si>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</si>
  <si>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</si>
  <si>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</si>
  <si>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</si>
  <si>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</si>
  <si>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</si>
  <si>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</si>
  <si>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</si>
  <si>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</si>
  <si>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</si>
  <si>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</si>
  <si>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</si>
  <si>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</si>
  <si>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</si>
  <si>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</si>
  <si>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</si>
  <si>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</si>
  <si>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</si>
  <si>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</si>
  <si>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</si>
  <si>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</si>
  <si>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</si>
  <si>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</si>
  <si>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</si>
  <si>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</si>
  <si>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</si>
  <si>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</si>
  <si>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</si>
  <si>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</si>
  <si>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</si>
  <si>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</si>
  <si>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</si>
  <si>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</si>
  <si>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</si>
  <si>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</si>
  <si>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</si>
  <si>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</si>
  <si>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</si>
  <si>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</si>
  <si>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</si>
  <si>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</si>
  <si>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</si>
  <si>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</si>
  <si>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</si>
  <si>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</si>
  <si>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</si>
  <si>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</si>
  <si>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</si>
  <si>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</si>
  <si>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</si>
  <si>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</si>
  <si>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</si>
  <si>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</si>
  <si>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</si>
  <si>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</si>
  <si>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</si>
  <si>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</si>
  <si>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</si>
  <si>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</si>
  <si>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</si>
  <si>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</si>
  <si>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</si>
  <si>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</si>
  <si>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</si>
  <si>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</si>
  <si>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</si>
  <si>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</si>
  <si>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</si>
  <si>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</si>
  <si>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</si>
  <si>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</si>
  <si>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</si>
  <si>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</si>
  <si>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</si>
  <si>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</si>
  <si>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</si>
  <si>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</si>
  <si>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</si>
  <si>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</si>
  <si>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</si>
  <si>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</si>
  <si>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</si>
  <si>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</si>
  <si>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</si>
  <si>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</si>
  <si>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</si>
  <si>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</si>
  <si>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</si>
  <si>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</si>
  <si>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</si>
  <si>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</si>
  <si>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</si>
  <si>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</si>
  <si>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</si>
  <si>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</si>
  <si>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</si>
  <si>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</si>
  <si>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</si>
  <si>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</si>
  <si>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</si>
  <si>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</si>
  <si>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</si>
  <si>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</si>
  <si>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</si>
  <si>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</si>
  <si>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</si>
  <si>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</si>
  <si>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</si>
  <si>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</si>
  <si>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</si>
  <si>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</si>
  <si>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</si>
  <si>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</si>
  <si>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</si>
  <si>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</si>
  <si>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</si>
  <si>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</si>
  <si>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</si>
  <si>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</si>
  <si>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</si>
  <si>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</si>
  <si>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</si>
  <si>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</si>
  <si>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</si>
  <si>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</si>
  <si>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</si>
  <si>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</si>
  <si>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</si>
  <si>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</si>
  <si>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</si>
  <si>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</si>
  <si>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</si>
  <si>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</si>
  <si>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</si>
  <si>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</si>
  <si>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</si>
  <si>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</si>
  <si>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</si>
  <si>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</si>
  <si>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</si>
  <si>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</si>
  <si>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</si>
  <si>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</si>
  <si>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</si>
  <si>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</si>
  <si>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</si>
  <si>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</si>
  <si>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</si>
  <si>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</si>
  <si>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</si>
  <si>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</si>
  <si>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</si>
  <si>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</si>
  <si>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</si>
  <si>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</si>
  <si>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</si>
  <si>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</si>
  <si>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</si>
  <si>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</si>
  <si>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</si>
  <si>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</si>
  <si>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</si>
  <si>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</si>
  <si>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</si>
  <si>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</si>
  <si>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</si>
  <si>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</si>
  <si>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</si>
  <si>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</si>
  <si>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</si>
  <si>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</si>
  <si>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</si>
  <si>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</si>
  <si>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</si>
  <si>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</si>
  <si>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</si>
  <si>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</si>
  <si>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</si>
  <si>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</si>
  <si>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</si>
  <si>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</si>
  <si>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</si>
  <si>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</si>
  <si>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</si>
  <si>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</si>
  <si>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</si>
  <si>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</si>
  <si>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</si>
  <si>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</si>
  <si>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</si>
  <si>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</si>
  <si>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</si>
  <si>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</si>
  <si>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</si>
  <si>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</si>
  <si>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</si>
  <si>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</si>
  <si>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</si>
  <si>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</si>
  <si>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</si>
  <si>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</si>
  <si>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</si>
  <si>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</si>
  <si>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</si>
  <si>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</si>
  <si>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</si>
  <si>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</si>
  <si>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</si>
  <si>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</si>
  <si>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</si>
  <si>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</si>
  <si>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</si>
  <si>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</si>
  <si>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</si>
  <si>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</si>
  <si>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</si>
  <si>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</si>
  <si>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</si>
  <si>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</si>
  <si>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</si>
  <si>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</si>
  <si>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</si>
  <si>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</si>
  <si>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</si>
  <si>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</si>
  <si>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</si>
  <si>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</si>
  <si>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</si>
  <si>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</si>
  <si>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</si>
  <si>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</si>
  <si>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</si>
  <si>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</si>
  <si>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</si>
  <si>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</si>
  <si>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</si>
  <si>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</si>
  <si>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</si>
  <si>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</si>
  <si>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</si>
  <si>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</si>
  <si>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</si>
  <si>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</si>
  <si>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</si>
  <si>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</si>
  <si>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</si>
  <si>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</si>
  <si>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</si>
  <si>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</si>
  <si>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</si>
  <si>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</si>
  <si>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</si>
  <si>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</si>
  <si>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</si>
  <si>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</si>
  <si>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</si>
  <si>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</si>
  <si>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</si>
  <si>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</si>
  <si>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</si>
  <si>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</si>
  <si>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</si>
  <si>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</si>
  <si>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</si>
  <si>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</si>
  <si>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</si>
  <si>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</si>
  <si>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</si>
  <si>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</si>
  <si>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</si>
  <si>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</si>
  <si>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</si>
  <si>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</si>
  <si>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</si>
  <si>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</si>
  <si>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</si>
  <si>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</si>
  <si>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</si>
  <si>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</si>
  <si>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</si>
  <si>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</si>
  <si>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</si>
  <si>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</si>
  <si>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</si>
  <si>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</si>
  <si>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</si>
  <si>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</si>
  <si>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</si>
  <si>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</si>
  <si>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</si>
  <si>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</si>
  <si>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</si>
  <si>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</si>
  <si>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</si>
  <si>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</si>
  <si>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</si>
  <si>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</si>
  <si>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</si>
  <si>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</si>
  <si>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</si>
  <si>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</si>
  <si>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</si>
  <si>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</si>
  <si>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</si>
  <si>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</si>
  <si>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</si>
  <si>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</si>
  <si>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</si>
  <si>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</si>
  <si>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</si>
  <si>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</si>
  <si>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</si>
  <si>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</si>
  <si>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</si>
  <si>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</si>
  <si>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</si>
  <si>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</si>
  <si>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</si>
  <si>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</si>
  <si>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</si>
  <si>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</si>
  <si>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</si>
  <si>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</si>
  <si>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</si>
  <si>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</si>
  <si>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</si>
  <si>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</si>
  <si>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</si>
  <si>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</si>
  <si>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</si>
  <si>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</si>
  <si>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</si>
  <si>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</si>
  <si>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</si>
  <si>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</si>
  <si>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</si>
  <si>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</si>
  <si>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</si>
  <si>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</si>
  <si>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</si>
  <si>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</si>
  <si>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</si>
  <si>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</si>
  <si>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</si>
  <si>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</si>
  <si>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</si>
  <si>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</si>
  <si>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</si>
  <si>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</si>
  <si>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</si>
  <si>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</si>
  <si>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</si>
  <si>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</si>
  <si>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</si>
  <si>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</si>
  <si>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</si>
  <si>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</si>
  <si>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</si>
  <si>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</si>
  <si>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</si>
  <si>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</si>
  <si>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</si>
  <si>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</si>
  <si>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</si>
  <si>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</si>
  <si>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</si>
  <si>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</si>
  <si>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</si>
  <si>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</si>
  <si>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</si>
  <si>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</si>
  <si>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</si>
  <si>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</si>
  <si>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</si>
  <si>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</si>
  <si>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</si>
  <si>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</si>
  <si>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</si>
  <si>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</si>
  <si>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</si>
  <si>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</si>
  <si>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</si>
  <si>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</si>
  <si>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</si>
  <si>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</si>
  <si>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</si>
  <si>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</si>
  <si>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</si>
  <si>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</si>
  <si>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</si>
  <si>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</si>
  <si>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</si>
  <si>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</si>
  <si>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</si>
  <si>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</si>
  <si>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</si>
  <si>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</si>
  <si>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</si>
  <si>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</si>
  <si>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</si>
  <si>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</si>
  <si>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</si>
  <si>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</si>
  <si>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</si>
  <si>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</si>
  <si>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</si>
  <si>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</si>
  <si>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</si>
  <si>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</si>
  <si>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</si>
  <si>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</si>
  <si>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</si>
  <si>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</si>
  <si>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</si>
  <si>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</si>
  <si>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</si>
  <si>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</si>
  <si>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</si>
  <si>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</si>
  <si>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</si>
  <si>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</si>
  <si>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</si>
  <si>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</si>
  <si>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</si>
  <si>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</si>
  <si>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</si>
  <si>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</si>
  <si>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</si>
  <si>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</si>
  <si>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</si>
  <si>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</si>
  <si>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</si>
  <si>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</si>
  <si>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</si>
  <si>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</si>
  <si>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</si>
  <si>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</si>
  <si>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</si>
  <si>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</si>
  <si>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</si>
  <si>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</si>
  <si>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</si>
  <si>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</si>
  <si>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</si>
  <si>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</si>
  <si>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</si>
  <si>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</si>
  <si>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</si>
  <si>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</si>
  <si>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</si>
  <si>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</si>
  <si>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</si>
  <si>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</si>
  <si>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</si>
  <si>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</si>
  <si>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</si>
  <si>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</si>
  <si>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</si>
  <si>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</si>
  <si>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</si>
  <si>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</si>
  <si>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</si>
  <si>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</si>
  <si>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</si>
  <si>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</si>
  <si>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</si>
  <si>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</si>
  <si>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</si>
  <si>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</si>
  <si>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</si>
  <si>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</si>
  <si>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</si>
  <si>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</si>
  <si>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</si>
  <si>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</si>
  <si>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</si>
  <si>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</si>
  <si>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</si>
  <si>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</si>
  <si>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</si>
  <si>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</si>
  <si>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</si>
  <si>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</si>
  <si>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</si>
  <si>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</si>
  <si>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</si>
  <si>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</si>
  <si>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</si>
  <si>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</si>
  <si>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</si>
  <si>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</si>
  <si>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</si>
  <si>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</si>
  <si>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</si>
  <si>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</si>
  <si>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</si>
  <si>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</si>
  <si>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</si>
  <si>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</si>
  <si>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</si>
  <si>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</si>
  <si>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</si>
  <si>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</si>
  <si>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</si>
  <si>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</si>
  <si>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</si>
  <si>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</si>
  <si>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</si>
  <si>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</si>
  <si>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</si>
  <si>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</si>
  <si>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</si>
  <si>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</si>
  <si>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</si>
  <si>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</si>
  <si>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</si>
  <si>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</si>
  <si>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</si>
  <si>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</si>
  <si>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</si>
  <si>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</si>
  <si>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</si>
  <si>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</si>
  <si>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</si>
  <si>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</si>
  <si>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</si>
  <si>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</si>
  <si>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</si>
  <si>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</si>
  <si>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</si>
  <si>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</si>
  <si>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</si>
  <si>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</si>
  <si>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</si>
  <si>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</si>
  <si>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</si>
  <si>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</si>
  <si>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</si>
  <si>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</si>
  <si>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</si>
  <si>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</si>
  <si>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</si>
  <si>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</si>
  <si>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</si>
  <si>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</si>
  <si>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</si>
  <si>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</si>
  <si>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</si>
  <si>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</si>
  <si>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</si>
  <si>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</si>
  <si>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</si>
  <si>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</si>
  <si>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</si>
  <si>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</si>
  <si>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</si>
  <si>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</si>
  <si>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</si>
  <si>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</si>
  <si>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</si>
  <si>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</si>
  <si>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</si>
  <si>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</si>
  <si>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</si>
  <si>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</si>
  <si>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</si>
  <si>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</si>
  <si>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</si>
  <si>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</si>
  <si>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</si>
  <si>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</si>
  <si>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</si>
  <si>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</si>
  <si>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</si>
  <si>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</si>
  <si>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</si>
  <si>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</si>
  <si>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</si>
  <si>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</si>
  <si>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</si>
  <si>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</si>
  <si>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</si>
  <si>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</si>
  <si>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</si>
  <si>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</si>
  <si>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</si>
  <si>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</si>
  <si>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</si>
  <si>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</si>
  <si>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</si>
  <si>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</si>
  <si>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</si>
  <si>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</si>
  <si>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</si>
  <si>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</si>
  <si>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</si>
  <si>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</si>
  <si>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</si>
  <si>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</si>
  <si>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</si>
  <si>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</si>
  <si>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</si>
  <si>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</si>
  <si>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</si>
  <si>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</si>
  <si>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</si>
  <si>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</si>
  <si>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</si>
  <si>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</si>
  <si>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</si>
  <si>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</si>
  <si>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</si>
  <si>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</si>
  <si>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</si>
  <si>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</si>
  <si>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</si>
  <si>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</si>
  <si>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</si>
  <si>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</si>
  <si>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</si>
  <si>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</si>
  <si>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</si>
  <si>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</si>
  <si>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</si>
  <si>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</si>
  <si>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</si>
  <si>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</si>
  <si>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</si>
  <si>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</si>
  <si>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</si>
  <si>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</si>
  <si>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</si>
  <si>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</si>
  <si>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</si>
  <si>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</si>
  <si>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</si>
  <si>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</si>
  <si>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</si>
  <si>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</si>
  <si>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</si>
  <si>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</si>
  <si>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</si>
  <si>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</si>
  <si>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</si>
  <si>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</si>
  <si>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</si>
  <si>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</si>
  <si>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</si>
  <si>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</si>
  <si>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</si>
  <si>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</si>
  <si>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</si>
  <si>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</si>
  <si>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</si>
  <si>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</si>
  <si>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</si>
  <si>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</si>
  <si>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</si>
  <si>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</si>
  <si>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</si>
  <si>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</si>
  <si>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</si>
  <si>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</si>
  <si>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</si>
  <si>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</si>
  <si>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</si>
  <si>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</si>
  <si>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</si>
  <si>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</si>
  <si>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</si>
  <si>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</si>
  <si>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</si>
  <si>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</si>
  <si>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</si>
  <si>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</si>
  <si>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</si>
  <si>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</si>
  <si>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</si>
  <si>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</si>
  <si>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</si>
  <si>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</si>
  <si>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</si>
  <si>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</si>
  <si>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</si>
  <si>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</si>
  <si>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</si>
  <si>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</si>
  <si>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</si>
  <si>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</si>
  <si>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</si>
  <si>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</si>
  <si>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</si>
  <si>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</si>
  <si>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</si>
  <si>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</si>
  <si>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</si>
  <si>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</si>
  <si>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</si>
  <si>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</si>
  <si>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</si>
  <si>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</si>
  <si>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</si>
  <si>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</si>
  <si>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</si>
  <si>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</si>
  <si>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</si>
  <si>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</si>
  <si>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</si>
  <si>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</si>
  <si>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</si>
  <si>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</si>
  <si>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</si>
  <si>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</si>
  <si>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</si>
  <si>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</si>
  <si>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</si>
  <si>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</si>
  <si>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</si>
  <si>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</si>
  <si>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</si>
  <si>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</si>
  <si>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</si>
  <si>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</si>
  <si>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</si>
  <si>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</si>
  <si>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</si>
  <si>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</si>
  <si>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</si>
  <si>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</si>
  <si>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</si>
  <si>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</si>
  <si>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</si>
  <si>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</si>
  <si>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</si>
  <si>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</si>
  <si>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</si>
  <si>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</si>
  <si>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</si>
  <si>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</si>
  <si>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</si>
  <si>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</si>
  <si>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</si>
  <si>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</si>
  <si>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</si>
  <si>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</si>
  <si>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</si>
  <si>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</si>
  <si>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</si>
  <si>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</si>
  <si>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</si>
  <si>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</si>
  <si>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</si>
  <si>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</si>
  <si>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</si>
  <si>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</si>
  <si>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</si>
  <si>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</si>
  <si>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</si>
  <si>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</si>
  <si>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</si>
  <si>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</si>
  <si>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</si>
  <si>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</si>
  <si>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</si>
  <si>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</si>
  <si>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</si>
  <si>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</si>
  <si>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</si>
  <si>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</si>
  <si>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</si>
  <si>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</si>
  <si>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</si>
  <si>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</si>
  <si>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</si>
  <si>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</si>
  <si>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</si>
  <si>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</si>
  <si>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</si>
  <si>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</si>
  <si>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</si>
  <si>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</si>
  <si>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</si>
  <si>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</si>
  <si>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</si>
  <si>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</si>
  <si>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</si>
  <si>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</si>
  <si>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</si>
  <si>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</si>
  <si>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</si>
  <si>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</si>
  <si>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</si>
  <si>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</si>
  <si>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</si>
  <si>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</si>
  <si>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</si>
  <si>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</si>
  <si>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</si>
  <si>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</si>
  <si>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</si>
  <si>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</si>
  <si>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</si>
  <si>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</si>
  <si>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</si>
  <si>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</si>
  <si>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</si>
  <si>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</si>
  <si>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</si>
  <si>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</si>
  <si>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</si>
  <si>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</si>
  <si>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</si>
  <si>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</si>
  <si>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</si>
  <si>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</si>
  <si>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</si>
  <si>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</si>
  <si>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</si>
  <si>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</si>
  <si>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</si>
  <si>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</si>
  <si>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</si>
  <si>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</si>
  <si>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</si>
  <si>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</si>
  <si>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</si>
  <si>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</si>
  <si>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</si>
  <si>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</si>
  <si>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</si>
  <si>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</si>
  <si>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</si>
  <si>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</si>
  <si>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</si>
  <si>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</si>
  <si>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</si>
  <si>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</si>
  <si>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</si>
  <si>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</si>
  <si>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</si>
  <si>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</si>
  <si>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</si>
  <si>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</si>
  <si>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</si>
  <si>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</si>
  <si>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</si>
  <si>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</si>
  <si>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</si>
  <si>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</si>
  <si>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</si>
  <si>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</si>
  <si>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</si>
  <si>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</si>
  <si>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</si>
  <si>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</si>
  <si>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</si>
  <si>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</si>
  <si>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</si>
  <si>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</si>
  <si>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</si>
  <si>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</si>
  <si>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</si>
  <si>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</si>
  <si>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</si>
  <si>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</si>
  <si>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</si>
  <si>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</si>
  <si>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</si>
  <si>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</si>
  <si>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</si>
  <si>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</si>
  <si>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</si>
  <si>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</si>
  <si>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</si>
  <si>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</si>
  <si>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</si>
  <si>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</si>
  <si>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</si>
  <si>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</si>
  <si>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</si>
  <si>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</si>
  <si>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</si>
  <si>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</si>
  <si>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</si>
  <si>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</si>
  <si>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</si>
  <si>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</si>
  <si>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</si>
  <si>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</si>
  <si>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</si>
  <si>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</si>
  <si>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</si>
  <si>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</si>
  <si>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</si>
  <si>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</si>
  <si>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</si>
  <si>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</si>
  <si>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</si>
  <si>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</si>
  <si>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</si>
  <si>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</si>
  <si>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</si>
  <si>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</si>
  <si>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</si>
  <si>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</si>
  <si>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</si>
  <si>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</si>
  <si>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</si>
  <si>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</si>
  <si>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</si>
  <si>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</si>
  <si>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</si>
  <si>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</si>
  <si>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</si>
  <si>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</si>
  <si>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</si>
  <si>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</si>
  <si>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</si>
  <si>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</si>
  <si>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</si>
  <si>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</si>
  <si>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</si>
  <si>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</si>
  <si>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</si>
  <si>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</si>
  <si>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</si>
  <si>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</si>
  <si>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</si>
  <si>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</si>
  <si>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</si>
  <si>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</si>
  <si>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</si>
  <si>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</si>
  <si>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</si>
  <si>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</si>
  <si>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</si>
  <si>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</si>
  <si>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</si>
  <si>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</si>
  <si>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</si>
  <si>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</si>
  <si>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</si>
  <si>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</si>
  <si>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</si>
  <si>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</si>
  <si>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</si>
  <si>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</si>
  <si>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</si>
  <si>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</si>
  <si>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</si>
  <si>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</si>
  <si>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</si>
  <si>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</si>
  <si>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</si>
  <si>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</si>
  <si>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</si>
  <si>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</si>
  <si>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</si>
  <si>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</si>
  <si>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</si>
  <si>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</si>
  <si>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</si>
  <si>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</si>
  <si>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</si>
  <si>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</si>
  <si>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</si>
  <si>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</si>
  <si>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</si>
  <si>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</si>
  <si>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</si>
  <si>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</si>
  <si>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</si>
  <si>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</si>
  <si>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</si>
  <si>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</si>
  <si>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</si>
  <si>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</si>
  <si>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</si>
  <si>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</si>
  <si>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</si>
  <si>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</si>
  <si>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</si>
  <si>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</si>
  <si>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</si>
  <si>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</si>
  <si>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</si>
  <si>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</si>
  <si>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</si>
  <si>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</si>
  <si>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</si>
  <si>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</si>
  <si>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</si>
  <si>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</si>
  <si>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</si>
  <si>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</si>
  <si>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</si>
  <si>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</si>
  <si>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</si>
  <si>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</si>
  <si>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</si>
  <si>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</si>
  <si>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</si>
  <si>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</si>
  <si>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</si>
  <si>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</si>
  <si>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</si>
  <si>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</si>
  <si>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</si>
  <si>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</si>
  <si>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</si>
  <si>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</si>
  <si>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</si>
  <si>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</si>
  <si>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</si>
  <si>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</si>
  <si>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</si>
  <si>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</si>
  <si>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</si>
  <si>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</si>
  <si>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</si>
  <si>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</si>
  <si>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</si>
  <si>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</si>
  <si>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</si>
  <si>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</si>
  <si>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</si>
  <si>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</si>
  <si>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</si>
  <si>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</si>
  <si>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</si>
  <si>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</si>
  <si>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</si>
  <si>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</si>
  <si>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</si>
  <si>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</si>
  <si>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</si>
  <si>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</si>
  <si>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</si>
  <si>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</si>
  <si>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</si>
  <si>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</si>
  <si>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</si>
  <si>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</si>
  <si>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</si>
  <si>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</si>
  <si>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</si>
  <si>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</si>
  <si>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</si>
  <si>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</si>
  <si>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</si>
  <si>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</si>
  <si>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</si>
  <si>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</si>
  <si>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</si>
  <si>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</si>
  <si>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</si>
  <si>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</si>
  <si>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</si>
  <si>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</si>
  <si>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</si>
  <si>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</si>
  <si>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</si>
  <si>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</si>
  <si>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</si>
  <si>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</si>
  <si>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</si>
  <si>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</si>
  <si>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</si>
  <si>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</si>
  <si>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</si>
  <si>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</si>
  <si>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</si>
  <si>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</si>
  <si>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</si>
  <si>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</si>
  <si>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</si>
  <si>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</si>
  <si>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</si>
  <si>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</si>
  <si>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</si>
  <si>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</si>
  <si>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</si>
  <si>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</si>
  <si>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</si>
  <si>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</si>
  <si>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</si>
  <si>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</si>
  <si>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</si>
  <si>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</si>
  <si>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</si>
  <si>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</si>
  <si>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</si>
  <si>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</si>
  <si>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</si>
  <si>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</si>
  <si>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</si>
  <si>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</si>
  <si>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</si>
  <si>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</si>
  <si>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</si>
  <si>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</si>
  <si>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</si>
  <si>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</si>
  <si>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</si>
  <si>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</si>
  <si>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</si>
  <si>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</si>
  <si>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</si>
  <si>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</si>
  <si>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</si>
  <si>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</si>
  <si>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</si>
  <si>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</si>
  <si>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</si>
  <si>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</si>
  <si>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</si>
  <si>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</si>
  <si>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</si>
  <si>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</si>
  <si>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</si>
  <si>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</si>
  <si>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</si>
  <si>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</si>
  <si>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</si>
  <si>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</si>
  <si>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</si>
  <si>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</si>
  <si>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</si>
  <si>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</si>
  <si>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</si>
  <si>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</si>
  <si>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</si>
  <si>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</si>
  <si>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</si>
  <si>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</si>
  <si>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</si>
  <si>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</si>
  <si>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</si>
  <si>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</si>
  <si>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</si>
  <si>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</si>
  <si>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</si>
  <si>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</si>
  <si>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</si>
  <si>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</si>
  <si>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</si>
  <si>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</si>
  <si>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</si>
  <si>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</si>
  <si>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</si>
  <si>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</si>
  <si>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</si>
  <si>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</si>
  <si>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</si>
  <si>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</si>
  <si>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</si>
  <si>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</si>
  <si>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</si>
  <si>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</si>
  <si>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</si>
  <si>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</si>
  <si>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</si>
  <si>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</si>
  <si>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</si>
  <si>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</si>
  <si>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</si>
  <si>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</si>
  <si>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</si>
  <si>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</si>
  <si>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</si>
  <si>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</si>
  <si>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</si>
  <si>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</si>
  <si>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</si>
  <si>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</si>
  <si>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</si>
  <si>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</si>
  <si>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</si>
  <si>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</si>
  <si>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</si>
  <si>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</si>
  <si>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</si>
  <si>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</si>
  <si>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</si>
  <si>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</si>
  <si>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</si>
  <si>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</si>
  <si>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</si>
  <si>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</si>
  <si>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</si>
  <si>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</si>
  <si>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</si>
  <si>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</si>
  <si>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</si>
  <si>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</si>
  <si>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</si>
  <si>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</si>
  <si>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</si>
  <si>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</si>
  <si>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</si>
  <si>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</si>
  <si>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</si>
  <si>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</si>
  <si>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</si>
  <si>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</si>
  <si>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</si>
  <si>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</si>
  <si>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</si>
  <si>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</si>
  <si>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</si>
  <si>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</si>
  <si>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</si>
  <si>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</si>
  <si>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</si>
  <si>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</si>
  <si>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</si>
  <si>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</si>
  <si>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</si>
  <si>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</si>
  <si>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</si>
  <si>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</si>
  <si>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</si>
  <si>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</si>
  <si>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</si>
  <si>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</si>
  <si>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</si>
  <si>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</si>
  <si>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</si>
  <si>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</si>
  <si>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</si>
  <si>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</si>
  <si>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</si>
  <si>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</si>
  <si>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</si>
  <si>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</si>
  <si>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</si>
  <si>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</si>
  <si>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</si>
  <si>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</si>
  <si>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</si>
  <si>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</si>
  <si>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</si>
  <si>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</si>
  <si>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</si>
  <si>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</si>
  <si>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</si>
  <si>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</si>
  <si>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</si>
  <si>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</si>
  <si>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</si>
  <si>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</si>
  <si>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</si>
  <si>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</si>
  <si>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</si>
  <si>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</si>
  <si>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</si>
  <si>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</si>
  <si>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</si>
  <si>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</si>
  <si>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</si>
  <si>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</si>
  <si>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</si>
  <si>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</si>
  <si>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</si>
  <si>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</si>
  <si>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</si>
  <si>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</si>
  <si>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</si>
  <si>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</si>
  <si>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</si>
  <si>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</si>
  <si>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</si>
  <si>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</si>
  <si>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</si>
  <si>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</si>
  <si>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</si>
  <si>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</si>
  <si>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</si>
  <si>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</si>
  <si>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</si>
  <si>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</si>
  <si>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</si>
  <si>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</si>
  <si>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</si>
  <si>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</si>
  <si>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</si>
  <si>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</si>
  <si>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</si>
  <si>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</si>
  <si>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</si>
  <si>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</si>
  <si>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</si>
  <si>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</si>
  <si>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</si>
  <si>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</si>
  <si>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</si>
  <si>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</si>
  <si>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</si>
  <si>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</si>
  <si>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</si>
  <si>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</si>
  <si>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</si>
  <si>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</si>
  <si>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</si>
  <si>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</si>
  <si>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</si>
  <si>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</si>
  <si>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</si>
  <si>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</si>
  <si>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</si>
  <si>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</si>
  <si>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</si>
  <si>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</si>
  <si>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</si>
  <si>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</si>
  <si>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</si>
  <si>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</si>
  <si>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</si>
  <si>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</si>
  <si>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</si>
  <si>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</si>
  <si>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</si>
  <si>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</si>
  <si>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</si>
  <si>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</si>
  <si>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</si>
  <si>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</si>
  <si>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</si>
  <si>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</si>
  <si>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</si>
  <si>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</si>
  <si>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</si>
  <si>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</si>
  <si>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</si>
  <si>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</si>
  <si>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</si>
  <si>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</si>
  <si>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</si>
  <si>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</si>
  <si>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</si>
  <si>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</si>
  <si>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</si>
  <si>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</si>
  <si>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</si>
  <si>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</si>
  <si>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</si>
  <si>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</si>
  <si>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</si>
  <si>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</si>
  <si>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</si>
  <si>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</si>
  <si>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</si>
  <si>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</si>
  <si>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</si>
  <si>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</si>
  <si>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</si>
  <si>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</si>
  <si>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</si>
  <si>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</si>
  <si>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</si>
  <si>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</si>
  <si>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</si>
  <si>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</si>
  <si>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</si>
  <si>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</si>
  <si>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</si>
  <si>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</si>
  <si>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</si>
  <si>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</si>
  <si>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</si>
  <si>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</si>
  <si>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</si>
  <si>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</si>
  <si>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</si>
  <si>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</si>
  <si>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</si>
  <si>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</si>
  <si>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</si>
  <si>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</si>
  <si>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</si>
  <si>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</si>
  <si>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</si>
  <si>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</si>
  <si>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</si>
  <si>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</si>
  <si>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</si>
  <si>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</si>
  <si>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</si>
  <si>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</si>
  <si>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</si>
  <si>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</si>
  <si>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</si>
  <si>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</si>
  <si>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</si>
  <si>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</si>
  <si>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</si>
  <si>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</si>
  <si>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</si>
  <si>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</si>
  <si>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</si>
  <si>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</si>
  <si>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</si>
  <si>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</si>
  <si>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</si>
  <si>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</si>
  <si>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</si>
  <si>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</si>
  <si>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</si>
  <si>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</si>
  <si>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</si>
  <si>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</si>
  <si>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</si>
  <si>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</si>
  <si>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</si>
  <si>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</si>
  <si>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</si>
  <si>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</si>
  <si>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</si>
  <si>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</si>
  <si>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</si>
  <si>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</si>
  <si>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</si>
  <si>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</si>
  <si>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</si>
  <si>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</si>
  <si>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</si>
  <si>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</si>
  <si>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</si>
  <si>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</si>
  <si>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</si>
  <si>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</si>
  <si>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</si>
  <si>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</si>
  <si>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</si>
  <si>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</si>
  <si>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</si>
  <si>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</si>
  <si>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</si>
  <si>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</si>
  <si>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</si>
  <si>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</si>
  <si>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</si>
  <si>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</si>
  <si>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</si>
  <si>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</si>
  <si>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</si>
  <si>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</si>
  <si>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</si>
  <si>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</si>
  <si>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</si>
  <si>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</si>
  <si>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</si>
  <si>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</si>
  <si>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</si>
  <si>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</si>
  <si>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</si>
  <si>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</si>
  <si>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</si>
  <si>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</si>
  <si>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</si>
  <si>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</si>
  <si>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</si>
  <si>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</si>
  <si>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</si>
  <si>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</si>
  <si>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</si>
  <si>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</si>
  <si>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</si>
  <si>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</si>
  <si>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</si>
  <si>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</si>
  <si>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</si>
  <si>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</si>
  <si>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</si>
  <si>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</si>
  <si>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</si>
  <si>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</si>
  <si>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</si>
  <si>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</si>
  <si>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</si>
  <si>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</si>
  <si>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</si>
  <si>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</si>
  <si>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</si>
  <si>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</si>
  <si>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</si>
  <si>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</si>
  <si>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</si>
  <si>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</si>
  <si>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</si>
  <si>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</si>
  <si>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</si>
  <si>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</si>
  <si>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</si>
  <si>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</si>
  <si>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</si>
  <si>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</si>
  <si>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</si>
  <si>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</si>
  <si>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</si>
  <si>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</si>
  <si>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</si>
  <si>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</si>
  <si>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</si>
  <si>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</si>
  <si>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</si>
  <si>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</si>
  <si>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</si>
  <si>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</si>
  <si>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</si>
  <si>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</si>
  <si>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</si>
  <si>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</si>
  <si>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</si>
  <si>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</si>
  <si>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</si>
  <si>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</si>
  <si>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</si>
  <si>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</si>
  <si>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</si>
  <si>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</si>
  <si>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</si>
  <si>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</si>
  <si>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</si>
  <si>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</si>
  <si>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</si>
  <si>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</si>
  <si>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</si>
  <si>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</si>
  <si>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</si>
  <si>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</si>
  <si>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</si>
  <si>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</si>
  <si>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</si>
  <si>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</si>
  <si>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</si>
  <si>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</si>
  <si>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</si>
  <si>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</si>
  <si>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</si>
  <si>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</si>
  <si>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</si>
  <si>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</si>
  <si>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</si>
  <si>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</si>
  <si>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</si>
  <si>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</si>
  <si>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</si>
  <si>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</si>
  <si>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</si>
  <si>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</si>
  <si>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</si>
  <si>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</si>
  <si>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</si>
  <si>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</si>
  <si>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</si>
  <si>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</si>
  <si>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</si>
  <si>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</si>
  <si>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</si>
  <si>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</si>
  <si>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</si>
  <si>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</si>
  <si>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</si>
  <si>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</si>
  <si>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</si>
  <si>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</si>
  <si>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</si>
  <si>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</si>
  <si>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</si>
  <si>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</si>
  <si>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</si>
  <si>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</si>
  <si>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</si>
  <si>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</si>
  <si>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</si>
  <si>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</si>
  <si>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</si>
  <si>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</si>
  <si>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</si>
  <si>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</si>
  <si>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</si>
  <si>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</si>
  <si>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</si>
  <si>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</si>
  <si>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</si>
  <si>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</si>
  <si>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</si>
  <si>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</si>
  <si>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</si>
  <si>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</si>
  <si>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</si>
  <si>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</si>
  <si>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</si>
  <si>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</si>
  <si>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</si>
  <si>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</si>
  <si>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</si>
  <si>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</si>
  <si>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</si>
  <si>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</si>
  <si>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</si>
  <si>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</si>
  <si>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</si>
  <si>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</si>
  <si>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</si>
  <si>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</si>
  <si>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</si>
  <si>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</si>
  <si>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</si>
  <si>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</si>
  <si>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</si>
  <si>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</si>
  <si>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</si>
  <si>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</si>
  <si>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</si>
  <si>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</si>
  <si>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</si>
  <si>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</si>
  <si>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</si>
  <si>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</si>
  <si>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</si>
  <si>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</si>
  <si>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</si>
  <si>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</si>
  <si>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</si>
  <si>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</si>
  <si>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</si>
  <si>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</si>
  <si>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</si>
  <si>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</si>
  <si>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</si>
  <si>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</si>
  <si>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</si>
  <si>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</si>
  <si>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</si>
  <si>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</si>
  <si>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</si>
  <si>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</si>
  <si>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</si>
  <si>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</si>
  <si>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</si>
  <si>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</si>
  <si>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</si>
  <si>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</si>
  <si>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</si>
  <si>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</si>
  <si>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</si>
  <si>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</si>
  <si>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</si>
  <si>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</si>
  <si>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</si>
  <si>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</si>
  <si>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</si>
  <si>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</si>
  <si>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</si>
  <si>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</si>
  <si>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</si>
  <si>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</si>
  <si>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</si>
  <si>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</si>
  <si>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</si>
  <si>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</si>
  <si>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</si>
  <si>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</si>
  <si>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</si>
  <si>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</si>
  <si>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</si>
  <si>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</si>
  <si>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</si>
  <si>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</si>
  <si>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</si>
  <si>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</si>
  <si>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</si>
  <si>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</si>
  <si>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</si>
  <si>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</si>
  <si>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</si>
  <si>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</si>
  <si>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</si>
  <si>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</si>
  <si>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</si>
  <si>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</si>
  <si>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</si>
  <si>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</si>
  <si>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</si>
  <si>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</si>
  <si>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</si>
  <si>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</si>
  <si>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</si>
  <si>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</si>
  <si>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</si>
  <si>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</si>
  <si>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</si>
  <si>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</si>
  <si>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</si>
  <si>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</si>
  <si>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</si>
  <si>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</si>
  <si>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</si>
  <si>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</si>
  <si>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</si>
  <si>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</si>
  <si>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</si>
  <si>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</si>
  <si>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</si>
  <si>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</si>
  <si>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</si>
  <si>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</si>
  <si>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</si>
  <si>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</si>
  <si>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</si>
  <si>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</si>
  <si>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</si>
  <si>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</si>
  <si>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</si>
  <si>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</si>
  <si>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</si>
  <si>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</si>
  <si>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</si>
  <si>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</si>
  <si>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</si>
  <si>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</si>
  <si>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</si>
  <si>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</si>
  <si>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</si>
  <si>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</si>
  <si>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</si>
  <si>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</si>
  <si>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</si>
  <si>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</si>
  <si>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</si>
  <si>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</si>
  <si>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</si>
  <si>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</si>
  <si>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</si>
  <si>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</si>
  <si>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</si>
  <si>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</si>
  <si>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</si>
  <si>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</si>
  <si>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</si>
  <si>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</si>
  <si>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</si>
  <si>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</si>
  <si>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</si>
  <si>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</si>
  <si>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</si>
  <si>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</si>
  <si>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</si>
  <si>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</si>
  <si>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</si>
  <si>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</si>
  <si>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</si>
  <si>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</si>
  <si>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</si>
  <si>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</si>
  <si>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</si>
  <si>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</si>
  <si>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</si>
  <si>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</si>
  <si>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</si>
  <si>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</si>
  <si>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</si>
  <si>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</si>
  <si>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</si>
  <si>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</si>
  <si>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</si>
  <si>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</si>
  <si>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</si>
  <si>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</si>
  <si>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</si>
  <si>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</si>
  <si>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</si>
  <si>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</si>
  <si>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</si>
  <si>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</si>
  <si>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</si>
  <si>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</si>
  <si>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</si>
  <si>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</si>
  <si>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</si>
  <si>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</si>
  <si>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</si>
  <si>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</si>
  <si>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</si>
  <si>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</si>
  <si>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</si>
  <si>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</si>
  <si>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</si>
  <si>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</si>
  <si>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</si>
  <si>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</si>
  <si>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</si>
  <si>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</si>
  <si>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</si>
  <si>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</si>
  <si>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</si>
  <si>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</si>
  <si>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</si>
  <si>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</si>
  <si>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</si>
  <si>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</si>
  <si>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</si>
  <si>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</si>
  <si>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</si>
  <si>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</si>
  <si>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</si>
  <si>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</si>
  <si>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</si>
  <si>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</si>
  <si>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</si>
  <si>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</si>
  <si>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</si>
  <si>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</si>
  <si>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</si>
  <si>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</si>
  <si>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</si>
  <si>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</si>
  <si>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</si>
  <si>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</si>
  <si>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</si>
  <si>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</si>
  <si>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</si>
  <si>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</si>
  <si>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</si>
  <si>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</si>
  <si>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</si>
  <si>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</si>
  <si>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</si>
  <si>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</si>
  <si>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</si>
  <si>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</si>
  <si>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</si>
  <si>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</si>
  <si>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</si>
  <si>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</si>
  <si>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</si>
  <si>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</si>
  <si>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</si>
  <si>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</si>
  <si>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</si>
  <si>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</si>
  <si>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</si>
  <si>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</si>
  <si>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</si>
  <si>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</si>
  <si>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</si>
  <si>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</si>
  <si>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</si>
  <si>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</si>
  <si>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</si>
  <si>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</si>
  <si>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</si>
  <si>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</si>
  <si>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</si>
  <si>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</si>
  <si>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</si>
  <si>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</si>
  <si>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</si>
  <si>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</si>
  <si>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</si>
  <si>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</si>
  <si>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</si>
  <si>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</si>
  <si>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</si>
  <si>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</si>
  <si>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</si>
  <si>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</si>
  <si>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</si>
  <si>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</si>
  <si>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</si>
  <si>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</si>
  <si>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</si>
  <si>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</si>
  <si>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</si>
  <si>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</si>
  <si>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</si>
  <si>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</si>
  <si>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</si>
  <si>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</si>
  <si>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</si>
  <si>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</si>
  <si>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</si>
  <si>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</si>
  <si>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</si>
  <si>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</si>
  <si>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</si>
  <si>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</si>
  <si>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</si>
  <si>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</si>
  <si>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</si>
  <si>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</si>
  <si>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</si>
  <si>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</si>
  <si>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</si>
  <si>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</si>
  <si>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</si>
  <si>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</si>
  <si>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</si>
  <si>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</si>
  <si>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</si>
  <si>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</si>
  <si>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</si>
  <si>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</si>
  <si>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</si>
  <si>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</si>
  <si>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</si>
  <si>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</si>
  <si>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</si>
  <si>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</si>
  <si>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</si>
  <si>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</si>
  <si>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</si>
  <si>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</si>
  <si>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</si>
  <si>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</si>
  <si>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</si>
  <si>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</si>
  <si>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</si>
  <si>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</si>
  <si>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</si>
  <si>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</si>
  <si>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</si>
  <si>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</si>
  <si>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</si>
  <si>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</si>
  <si>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</si>
  <si>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</si>
  <si>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</si>
  <si>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</si>
  <si>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</si>
  <si>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</si>
  <si>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</si>
  <si>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</si>
  <si>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</si>
  <si>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</si>
  <si>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</si>
  <si>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</si>
  <si>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</si>
  <si>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</si>
  <si>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</si>
  <si>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</si>
  <si>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</si>
  <si>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</si>
  <si>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</si>
  <si>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</si>
  <si>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</si>
  <si>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</si>
  <si>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</si>
  <si>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</si>
  <si>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</si>
  <si>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</si>
  <si>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</si>
  <si>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</si>
  <si>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</si>
  <si>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</si>
  <si>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</si>
  <si>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</si>
  <si>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</si>
  <si>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</si>
  <si>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</si>
  <si>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</si>
  <si>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</si>
  <si>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</si>
  <si>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</si>
  <si>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</si>
  <si>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</si>
  <si>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</si>
  <si>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</si>
  <si>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</si>
  <si>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</si>
  <si>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</si>
  <si>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</si>
  <si>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</si>
  <si>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</si>
  <si>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</si>
  <si>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</si>
  <si>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</si>
  <si>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</si>
  <si>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</si>
  <si>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</si>
  <si>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</si>
  <si>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</si>
  <si>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</si>
  <si>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</si>
  <si>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</si>
  <si>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</si>
  <si>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</si>
  <si>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</si>
  <si>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</si>
  <si>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</si>
  <si>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</si>
  <si>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</si>
  <si>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</si>
  <si>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</si>
  <si>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</si>
  <si>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</si>
  <si>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</si>
  <si>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</si>
  <si>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</si>
  <si>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</si>
  <si>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</si>
  <si>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</si>
  <si>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</si>
  <si>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</si>
  <si>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</si>
  <si>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</si>
  <si>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</si>
  <si>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</si>
  <si>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</si>
  <si>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</si>
  <si>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</si>
  <si>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</si>
  <si>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</si>
  <si>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</si>
  <si>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</si>
  <si>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</si>
  <si>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</si>
  <si>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</si>
  <si>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</si>
  <si>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</si>
  <si>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</si>
  <si>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</si>
  <si>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</si>
  <si>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</si>
  <si>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</si>
  <si>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</si>
  <si>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</si>
  <si>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</si>
  <si>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</si>
  <si>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</si>
  <si>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</si>
  <si>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</si>
  <si>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</si>
  <si>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</si>
  <si>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</si>
  <si>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</si>
  <si>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</si>
  <si>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</si>
  <si>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</si>
  <si>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</si>
  <si>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</si>
  <si>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</si>
  <si>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</si>
  <si>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</si>
  <si>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</si>
  <si>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</si>
  <si>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</si>
  <si>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</si>
  <si>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</si>
  <si>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</si>
  <si>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</si>
  <si>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</si>
  <si>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</si>
  <si>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</si>
  <si>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</si>
  <si>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</si>
  <si>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</si>
  <si>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</si>
  <si>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</si>
  <si>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</si>
  <si>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</si>
  <si>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</si>
  <si>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</si>
  <si>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</si>
  <si>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</si>
  <si>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</si>
  <si>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</si>
  <si>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</si>
  <si>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</si>
  <si>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</si>
  <si>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</si>
  <si>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</si>
  <si>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</si>
  <si>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</si>
  <si>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</si>
  <si>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</si>
  <si>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</si>
  <si>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</si>
  <si>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</si>
  <si>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</si>
  <si>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</si>
  <si>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</si>
  <si>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</si>
  <si>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</si>
  <si>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</si>
  <si>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</si>
  <si>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</si>
  <si>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</si>
  <si>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</si>
  <si>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</si>
  <si>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</si>
  <si>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</si>
  <si>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</si>
  <si>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</si>
  <si>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</si>
  <si>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</si>
  <si>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</si>
  <si>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</si>
  <si>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</si>
  <si>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</si>
  <si>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</si>
  <si>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</si>
  <si>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</si>
  <si>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</si>
  <si>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</si>
  <si>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</si>
  <si>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</si>
  <si>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</si>
  <si>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</si>
  <si>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</si>
  <si>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</si>
  <si>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</si>
  <si>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</si>
  <si>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</si>
  <si>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</si>
  <si>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</si>
  <si>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</si>
  <si>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</si>
  <si>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</si>
  <si>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</si>
  <si>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</si>
  <si>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</si>
  <si>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</si>
  <si>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</si>
  <si>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</si>
  <si>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</si>
  <si>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</si>
  <si>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</si>
  <si>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</si>
  <si>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</si>
  <si>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</si>
  <si>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</si>
  <si>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</si>
  <si>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</si>
  <si>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</si>
  <si>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</si>
  <si>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</si>
  <si>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</si>
  <si>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</si>
  <si>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</si>
  <si>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</si>
  <si>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</si>
  <si>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</si>
  <si>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</si>
  <si>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</si>
  <si>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</si>
  <si>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</si>
  <si>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</si>
  <si>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</si>
  <si>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</si>
  <si>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</si>
  <si>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</si>
  <si>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</si>
  <si>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</si>
  <si>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</si>
  <si>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</si>
  <si>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</si>
  <si>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</si>
  <si>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</si>
  <si>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</si>
  <si>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</si>
  <si>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</si>
  <si>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</si>
  <si>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</si>
  <si>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</si>
  <si>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</si>
  <si>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</si>
  <si>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</si>
  <si>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</si>
  <si>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</si>
  <si>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</si>
  <si>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</si>
  <si>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</si>
  <si>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</si>
  <si>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</si>
  <si>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</si>
  <si>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</si>
  <si>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</si>
  <si>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</si>
  <si>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</si>
  <si>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</si>
  <si>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</si>
  <si>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</si>
  <si>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</si>
  <si>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</si>
  <si>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</si>
  <si>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</si>
  <si>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</si>
  <si>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</si>
  <si>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</si>
  <si>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</si>
  <si>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</si>
  <si>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</si>
  <si>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</si>
  <si>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</si>
  <si>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</si>
  <si>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</si>
  <si>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</si>
  <si>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</si>
  <si>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</si>
  <si>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</si>
  <si>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</si>
  <si>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</si>
  <si>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</si>
  <si>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</si>
  <si>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</si>
  <si>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</si>
  <si>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</si>
  <si>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</si>
  <si>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</si>
  <si>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</si>
  <si>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</si>
  <si>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</si>
  <si>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</si>
  <si>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</si>
  <si>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</si>
  <si>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</si>
  <si>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</si>
  <si>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</si>
  <si>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</si>
  <si>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</si>
  <si>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</si>
  <si>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</si>
  <si>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</si>
  <si>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</si>
  <si>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</si>
  <si>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</si>
  <si>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</si>
  <si>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</si>
  <si>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</si>
  <si>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</si>
  <si>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</si>
  <si>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</si>
  <si>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</si>
  <si>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</si>
  <si>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</si>
  <si>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</si>
  <si>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</si>
  <si>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</si>
  <si>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</si>
  <si>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</si>
  <si>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</si>
  <si>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</si>
  <si>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</si>
  <si>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</si>
  <si>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</si>
  <si>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</si>
  <si>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</si>
  <si>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</si>
  <si>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</si>
  <si>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</si>
  <si>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</si>
  <si>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</si>
  <si>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</si>
  <si>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</si>
  <si>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</si>
  <si>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</si>
  <si>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</si>
  <si>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</si>
  <si>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</si>
  <si>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</si>
  <si>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</si>
  <si>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</si>
  <si>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</si>
  <si>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</si>
  <si>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</si>
  <si>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</si>
  <si>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</si>
  <si>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</si>
  <si>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</si>
  <si>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</si>
  <si>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</si>
  <si>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</si>
  <si>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</si>
  <si>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</si>
  <si>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</si>
  <si>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</si>
  <si>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</si>
  <si>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</si>
  <si>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</si>
  <si>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</si>
  <si>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</si>
  <si>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</si>
  <si>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</si>
  <si>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</si>
  <si>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</si>
  <si>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</si>
  <si>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</si>
  <si>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</si>
  <si>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</si>
  <si>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</si>
  <si>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</si>
  <si>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</si>
  <si>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</si>
  <si>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</si>
  <si>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</si>
  <si>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</si>
  <si>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</si>
  <si>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</si>
  <si>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</si>
  <si>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</si>
  <si>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</si>
  <si>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</si>
  <si>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</si>
  <si>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</si>
  <si>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</si>
  <si>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</si>
  <si>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</si>
  <si>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</si>
  <si>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</si>
  <si>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</si>
  <si>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</si>
  <si>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</si>
  <si>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</si>
  <si>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</si>
  <si>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</si>
  <si>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</si>
  <si>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</si>
  <si>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</si>
  <si>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</si>
  <si>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</si>
  <si>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</si>
  <si>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</si>
  <si>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</si>
  <si>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</si>
  <si>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</si>
  <si>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</si>
  <si>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</si>
  <si>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</si>
  <si>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</si>
  <si>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</si>
  <si>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</si>
  <si>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</si>
  <si>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</si>
  <si>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</si>
  <si>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</si>
  <si>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</si>
  <si>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</si>
  <si>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</si>
  <si>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</si>
  <si>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</si>
  <si>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</si>
  <si>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</si>
  <si>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</si>
  <si>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</si>
  <si>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</si>
  <si>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</si>
  <si>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</si>
  <si>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</si>
  <si>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</si>
  <si>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</si>
  <si>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</si>
  <si>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</si>
  <si>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</si>
  <si>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</si>
  <si>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</si>
  <si>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</si>
  <si>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</si>
  <si>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</si>
  <si>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</si>
  <si>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</si>
  <si>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</si>
  <si>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</si>
  <si>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</si>
  <si>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</si>
  <si>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</si>
  <si>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</si>
  <si>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</si>
  <si>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</si>
  <si>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</si>
  <si>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</si>
  <si>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</si>
  <si>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</si>
  <si>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</si>
  <si>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</si>
  <si>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</si>
  <si>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</si>
  <si>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</si>
  <si>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</si>
  <si>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</si>
  <si>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</si>
  <si>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</si>
  <si>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</si>
  <si>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</si>
  <si>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</si>
  <si>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</si>
  <si>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</si>
  <si>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</si>
  <si>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</si>
  <si>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</si>
  <si>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</si>
  <si>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</si>
  <si>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</si>
  <si>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</si>
  <si>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</si>
  <si>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</si>
  <si>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</si>
  <si>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</si>
  <si>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</si>
  <si>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</si>
  <si>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</si>
  <si>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</si>
  <si>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</si>
  <si>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</si>
  <si>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</si>
  <si>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</si>
  <si>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</si>
  <si>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</si>
  <si>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</si>
  <si>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</si>
  <si>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</si>
  <si>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</si>
  <si>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</si>
  <si>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</si>
  <si>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</si>
  <si>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</si>
  <si>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</si>
  <si>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</si>
  <si>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</si>
  <si>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</si>
  <si>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</si>
  <si>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</si>
  <si>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</si>
  <si>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</si>
  <si>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</si>
  <si>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</si>
  <si>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</si>
  <si>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</si>
  <si>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</si>
  <si>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</si>
  <si>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</si>
  <si>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</si>
  <si>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</si>
  <si>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</si>
  <si>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</si>
  <si>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</si>
  <si>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</si>
  <si>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</si>
  <si>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</si>
  <si>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</si>
  <si>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</si>
  <si>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</si>
  <si>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</si>
  <si>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</si>
  <si>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</si>
  <si>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</si>
  <si>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</si>
  <si>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</si>
  <si>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</si>
  <si>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</si>
  <si>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</si>
  <si>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</si>
  <si>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</si>
  <si>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</si>
  <si>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</si>
  <si>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</si>
  <si>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</si>
  <si>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</si>
  <si>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</si>
  <si>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</si>
  <si>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</si>
  <si>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</si>
  <si>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</si>
  <si>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</si>
  <si>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</si>
  <si>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</si>
  <si>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</si>
  <si>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</si>
  <si>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</si>
  <si>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</si>
  <si>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</si>
  <si>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</si>
  <si>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</si>
  <si>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</si>
  <si>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</si>
  <si>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</si>
  <si>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</si>
  <si>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</si>
  <si>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</si>
  <si>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</si>
  <si>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</si>
  <si>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</si>
  <si>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</si>
  <si>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</si>
  <si>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</si>
  <si>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</si>
  <si>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</si>
  <si>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</si>
  <si>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</si>
  <si>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</si>
  <si>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</si>
  <si>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</si>
  <si>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</si>
  <si>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</si>
  <si>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</si>
  <si>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</si>
  <si>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</si>
  <si>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</si>
  <si>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</si>
  <si>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</si>
  <si>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</si>
  <si>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</si>
  <si>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</si>
  <si>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</si>
  <si>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</si>
  <si>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</si>
  <si>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</si>
  <si>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</si>
  <si>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</si>
  <si>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</si>
  <si>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</si>
  <si>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</si>
  <si>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</si>
  <si>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</si>
  <si>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</si>
  <si>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</si>
  <si>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</si>
  <si>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</si>
  <si>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</si>
  <si>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</si>
  <si>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</si>
  <si>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</si>
  <si>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</si>
  <si>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</si>
  <si>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</si>
  <si>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</si>
  <si>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</si>
  <si>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</si>
  <si>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</si>
  <si>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</si>
  <si>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</si>
  <si>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</si>
  <si>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</si>
  <si>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</si>
  <si>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</si>
  <si>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</si>
  <si>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</si>
  <si>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</si>
  <si>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</si>
  <si>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</si>
  <si>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</si>
  <si>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</si>
  <si>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</si>
  <si>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</si>
  <si>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</si>
  <si>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</si>
  <si>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</si>
  <si>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</si>
  <si>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</si>
  <si>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</si>
  <si>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</si>
  <si>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</si>
  <si>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</si>
  <si>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</si>
  <si>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</si>
  <si>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</si>
  <si>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</si>
  <si>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</si>
  <si>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</si>
  <si>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</si>
  <si>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</si>
  <si>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</si>
  <si>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</si>
  <si>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</si>
  <si>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</si>
  <si>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</si>
  <si>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</si>
  <si>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</si>
  <si>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</si>
  <si>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</si>
  <si>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</si>
  <si>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</si>
  <si>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</si>
  <si>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</si>
  <si>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</si>
  <si>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</si>
  <si>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</si>
  <si>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</si>
  <si>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</si>
  <si>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</si>
  <si>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</si>
  <si>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</si>
  <si>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</si>
  <si>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</si>
  <si>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</si>
  <si>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</si>
  <si>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</si>
  <si>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</si>
  <si>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</si>
  <si>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</si>
  <si>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</si>
  <si>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</si>
  <si>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</si>
  <si>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</si>
  <si>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</si>
  <si>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</si>
  <si>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</si>
  <si>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</si>
  <si>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</si>
  <si>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</si>
  <si>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</si>
  <si>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</si>
  <si>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</si>
  <si>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</si>
  <si>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</si>
  <si>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</si>
  <si>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</si>
  <si>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</si>
  <si>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</si>
  <si>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</si>
  <si>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</si>
  <si>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</si>
  <si>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</si>
  <si>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</si>
  <si>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</si>
  <si>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</si>
  <si>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</si>
  <si>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</si>
  <si>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</si>
  <si>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</si>
  <si>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</si>
  <si>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</si>
  <si>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</si>
  <si>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</si>
  <si>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</si>
  <si>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</si>
  <si>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</si>
  <si>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</si>
  <si>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</si>
  <si>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</si>
  <si>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</si>
  <si>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</si>
  <si>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</si>
  <si>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</si>
  <si>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</si>
  <si>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</si>
  <si>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</si>
  <si>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</si>
  <si>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</si>
  <si>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</si>
  <si>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</si>
  <si>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</si>
  <si>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</si>
  <si>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</si>
  <si>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</si>
  <si>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</si>
  <si>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</si>
  <si>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</si>
  <si>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</si>
  <si>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</si>
  <si>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</si>
  <si>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</si>
  <si>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</si>
  <si>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</si>
  <si>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</si>
  <si>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</si>
  <si>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</si>
  <si>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</si>
  <si>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</si>
  <si>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</si>
  <si>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</si>
  <si>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</si>
  <si>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</si>
  <si>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</si>
  <si>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</si>
  <si>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</si>
  <si>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</si>
  <si>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</si>
  <si>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</si>
  <si>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</si>
  <si>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</si>
  <si>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</si>
  <si>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</si>
  <si>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</si>
  <si>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</si>
  <si>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</si>
  <si>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</si>
  <si>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</si>
  <si>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</si>
  <si>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</si>
  <si>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</si>
  <si>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</si>
  <si>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</si>
  <si>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</si>
  <si>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</si>
  <si>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</si>
  <si>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</si>
  <si>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</si>
  <si>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</si>
  <si>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</si>
  <si>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</si>
  <si>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</si>
  <si>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</si>
  <si>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</si>
  <si>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</si>
  <si>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</si>
  <si>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</si>
  <si>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</si>
  <si>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</si>
  <si>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</si>
  <si>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</si>
  <si>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</si>
  <si>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</si>
  <si>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</si>
  <si>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</si>
  <si>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</si>
  <si>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</si>
  <si>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</si>
  <si>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</si>
  <si>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</si>
  <si>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</si>
  <si>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</si>
  <si>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</si>
  <si>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</si>
  <si>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</si>
  <si>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</si>
  <si>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</si>
  <si>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</si>
  <si>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</si>
  <si>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</si>
  <si>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</si>
  <si>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</si>
  <si>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</si>
  <si>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</si>
  <si>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</si>
  <si>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</si>
  <si>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</si>
  <si>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</si>
  <si>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</si>
  <si>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</si>
  <si>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</si>
  <si>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</si>
  <si>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</si>
  <si>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</si>
  <si>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</si>
  <si>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</si>
  <si>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</si>
  <si>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</si>
  <si>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</si>
  <si>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</si>
  <si>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</si>
  <si>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</si>
  <si>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</si>
  <si>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</si>
  <si>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</si>
  <si>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</si>
  <si>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</si>
  <si>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</si>
  <si>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</si>
  <si>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</si>
  <si>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</si>
  <si>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</si>
  <si>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</si>
  <si>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</si>
  <si>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</si>
  <si>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</si>
  <si>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</si>
  <si>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</si>
  <si>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</si>
  <si>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</si>
  <si>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</si>
  <si>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</si>
  <si>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</si>
  <si>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</si>
  <si>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</si>
  <si>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</si>
  <si>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</si>
  <si>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</si>
  <si>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</si>
  <si>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</si>
  <si>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</si>
  <si>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</si>
  <si>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</si>
  <si>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</si>
  <si>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</si>
  <si>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</si>
  <si>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</si>
  <si>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</si>
  <si>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</si>
  <si>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</si>
  <si>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</si>
  <si>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</si>
  <si>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</si>
  <si>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</si>
  <si>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</si>
  <si>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</si>
  <si>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</si>
  <si>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</si>
  <si>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</si>
  <si>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</si>
  <si>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</si>
  <si>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</si>
  <si>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</si>
  <si>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</si>
  <si>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</si>
  <si>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</si>
  <si>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</si>
  <si>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</si>
  <si>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</si>
  <si>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</si>
  <si>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</si>
  <si>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</si>
  <si>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</si>
  <si>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</si>
  <si>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</si>
  <si>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</si>
  <si>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</si>
  <si>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</si>
  <si>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</si>
  <si>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</si>
  <si>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</si>
  <si>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</si>
  <si>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</si>
  <si>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</si>
  <si>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</si>
  <si>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</si>
  <si>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</si>
  <si>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</si>
  <si>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</si>
  <si>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</si>
  <si>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</si>
  <si>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</si>
  <si>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</si>
  <si>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</si>
  <si>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</si>
  <si>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</si>
  <si>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</si>
  <si>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</si>
  <si>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</si>
  <si>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</si>
  <si>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</si>
  <si>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</si>
  <si>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</si>
  <si>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</si>
  <si>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</si>
  <si>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</si>
  <si>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</si>
  <si>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</si>
  <si>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</si>
  <si>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</si>
  <si>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</si>
  <si>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</si>
  <si>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</si>
  <si>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</si>
  <si>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</si>
  <si>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</si>
  <si>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</si>
  <si>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</si>
  <si>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</si>
  <si>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</si>
  <si>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</si>
  <si>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</si>
  <si>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</si>
  <si>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</si>
  <si>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</si>
  <si>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</si>
  <si>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</si>
  <si>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</si>
  <si>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</si>
  <si>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</si>
  <si>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</si>
  <si>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</si>
  <si>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</si>
  <si>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</si>
  <si>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</si>
  <si>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</si>
  <si>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</si>
  <si>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</si>
  <si>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</si>
  <si>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</si>
  <si>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</si>
  <si>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</si>
  <si>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</si>
  <si>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</si>
  <si>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</si>
  <si>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</si>
  <si>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</si>
  <si>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</si>
  <si>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</si>
  <si>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</si>
  <si>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</si>
  <si>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</si>
  <si>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</si>
  <si>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</si>
  <si>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</si>
  <si>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</si>
  <si>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</si>
  <si>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</si>
  <si>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</si>
  <si>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</si>
  <si>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</si>
  <si>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</si>
  <si>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</si>
  <si>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</si>
  <si>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</si>
  <si>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</si>
  <si>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</si>
  <si>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</si>
  <si>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</si>
  <si>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</si>
  <si>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</si>
  <si>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</si>
  <si>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</si>
  <si>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</si>
  <si>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</si>
  <si>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</si>
  <si>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</si>
  <si>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</si>
  <si>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</si>
  <si>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</si>
  <si>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</si>
  <si>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</si>
  <si>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</si>
  <si>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</si>
  <si>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</si>
  <si>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</si>
  <si>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</si>
  <si>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</si>
  <si>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</si>
  <si>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</si>
  <si>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</si>
  <si>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</si>
  <si>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</si>
  <si>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</si>
  <si>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</si>
  <si>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</si>
  <si>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</si>
  <si>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</si>
  <si>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</si>
  <si>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</si>
  <si>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</si>
  <si>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</si>
  <si>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</si>
  <si>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</si>
  <si>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</si>
  <si>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</si>
  <si>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</si>
  <si>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</si>
  <si>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</si>
  <si>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</si>
  <si>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</si>
  <si>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</si>
  <si>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</si>
  <si>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</si>
  <si>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</si>
  <si>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</si>
  <si>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</si>
  <si>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</si>
  <si>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</si>
  <si>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</si>
  <si>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</si>
  <si>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</si>
  <si>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</si>
  <si>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</si>
  <si>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</si>
  <si>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</si>
  <si>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</si>
  <si>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</si>
  <si>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</si>
  <si>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</si>
  <si>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</si>
  <si>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</si>
  <si>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</si>
  <si>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</si>
  <si>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</si>
  <si>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</si>
  <si>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</si>
  <si>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</si>
  <si>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</si>
  <si>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</si>
  <si>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</si>
  <si>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</si>
  <si>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</si>
  <si>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</si>
  <si>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</si>
  <si>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</si>
  <si>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</si>
  <si>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</si>
  <si>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</si>
  <si>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</si>
  <si>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</si>
  <si>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</si>
  <si>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</si>
  <si>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</si>
  <si>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</si>
  <si>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</si>
  <si>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</si>
  <si>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</si>
  <si>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</si>
  <si>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</si>
  <si>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</si>
  <si>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</si>
  <si>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</si>
  <si>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</si>
  <si>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</si>
  <si>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</si>
  <si>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</si>
  <si>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</si>
  <si>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</si>
  <si>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</si>
  <si>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</si>
  <si>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</si>
  <si>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</si>
  <si>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</si>
  <si>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</si>
  <si>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</si>
  <si>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</si>
  <si>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</si>
  <si>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</si>
  <si>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</si>
  <si>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</si>
  <si>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</si>
  <si>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</si>
  <si>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</si>
  <si>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</si>
  <si>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</si>
  <si>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</si>
  <si>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</si>
  <si>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</si>
  <si>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</si>
  <si>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</si>
  <si>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</si>
  <si>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</si>
  <si>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</si>
  <si>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</si>
  <si>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</si>
  <si>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</si>
  <si>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</si>
  <si>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</si>
  <si>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</si>
  <si>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</si>
  <si>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</si>
  <si>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</si>
  <si>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</si>
  <si>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</si>
  <si>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</si>
  <si>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</si>
  <si>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</si>
  <si>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</si>
  <si>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</si>
  <si>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</si>
  <si>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</si>
  <si>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</si>
  <si>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</si>
  <si>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</si>
  <si>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</si>
  <si>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</si>
  <si>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</si>
  <si>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</si>
  <si>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</si>
  <si>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</si>
  <si>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</si>
  <si>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</si>
  <si>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</si>
  <si>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</si>
  <si>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</si>
  <si>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</si>
  <si>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</si>
  <si>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</si>
  <si>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</si>
  <si>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</si>
  <si>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</si>
  <si>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</si>
  <si>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</si>
  <si>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</si>
  <si>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</si>
  <si>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</si>
  <si>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</si>
  <si>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</si>
  <si>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</si>
  <si>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</si>
  <si>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</si>
  <si>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</si>
  <si>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</si>
  <si>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</si>
  <si>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</si>
  <si>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</si>
  <si>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</si>
  <si>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</si>
  <si>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</si>
  <si>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</si>
  <si>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</si>
  <si>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</si>
  <si>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</si>
  <si>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</si>
  <si>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</si>
  <si>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</si>
  <si>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</si>
  <si>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</si>
  <si>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</si>
  <si>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</si>
  <si>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</si>
  <si>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</si>
  <si>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</si>
  <si>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</si>
  <si>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</si>
  <si>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</si>
  <si>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</si>
  <si>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</si>
  <si>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</si>
  <si>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</si>
  <si>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</si>
  <si>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</si>
  <si>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</si>
  <si>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</si>
  <si>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</si>
  <si>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</si>
  <si>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</si>
  <si>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</si>
  <si>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</si>
  <si>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</si>
  <si>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</si>
  <si>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</si>
  <si>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</si>
  <si>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</si>
  <si>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</si>
  <si>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</si>
  <si>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</si>
  <si>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</si>
  <si>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</si>
  <si>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</si>
  <si>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</si>
  <si>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</si>
  <si>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</si>
  <si>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</si>
  <si>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</si>
  <si>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</si>
  <si>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</si>
  <si>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</si>
  <si>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</si>
  <si>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</si>
  <si>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</si>
  <si>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</si>
  <si>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</si>
  <si>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</si>
  <si>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</si>
  <si>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</si>
  <si>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</si>
  <si>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</si>
  <si>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</si>
  <si>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</si>
  <si>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</si>
  <si>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</si>
  <si>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</si>
  <si>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</si>
  <si>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</si>
  <si>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</si>
  <si>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</si>
  <si>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</si>
  <si>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</si>
  <si>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</si>
  <si>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</si>
  <si>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</si>
  <si>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</si>
  <si>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</si>
  <si>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</si>
  <si>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</si>
  <si>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</si>
  <si>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</si>
  <si>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</si>
  <si>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</si>
  <si>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</si>
  <si>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</si>
  <si>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</si>
  <si>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</si>
  <si>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</si>
  <si>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</si>
  <si>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</si>
  <si>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</si>
  <si>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</si>
  <si>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</si>
  <si>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</si>
  <si>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</si>
  <si>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</si>
  <si>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</si>
  <si>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</si>
  <si>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</si>
  <si>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</si>
  <si>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</si>
  <si>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</si>
  <si>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</si>
  <si>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</si>
  <si>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</si>
  <si>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</si>
  <si>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</si>
  <si>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</si>
  <si>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</si>
  <si>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</si>
  <si>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</si>
  <si>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</si>
  <si>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</si>
  <si>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</si>
  <si>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</si>
  <si>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</si>
  <si>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</si>
  <si>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</si>
  <si>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</si>
  <si>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</si>
  <si>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</si>
  <si>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</si>
  <si>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</si>
  <si>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</si>
  <si>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</si>
  <si>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</si>
  <si>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</si>
  <si>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</si>
  <si>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</si>
  <si>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</si>
  <si>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</si>
  <si>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</si>
  <si>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</si>
  <si>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</si>
  <si>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</si>
  <si>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</si>
  <si>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</si>
  <si>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</si>
  <si>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</si>
  <si>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</si>
  <si>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</si>
  <si>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</si>
  <si>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</si>
  <si>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</si>
  <si>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</si>
  <si>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</si>
  <si>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</si>
  <si>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</si>
  <si>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</si>
  <si>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</si>
  <si>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</si>
  <si>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</si>
  <si>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</si>
  <si>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</si>
  <si>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</si>
  <si>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</si>
  <si>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</si>
  <si>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</si>
  <si>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</si>
  <si>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</si>
  <si>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</si>
  <si>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</si>
  <si>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</si>
  <si>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</si>
  <si>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</si>
  <si>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</si>
  <si>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</si>
  <si>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</si>
  <si>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</si>
  <si>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</si>
  <si>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</si>
  <si>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</si>
  <si>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</si>
  <si>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</si>
  <si>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</si>
  <si>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</si>
  <si>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</si>
  <si>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</si>
  <si>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</si>
  <si>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</si>
  <si>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</si>
  <si>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</si>
  <si>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</si>
  <si>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</si>
  <si>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</si>
  <si>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</si>
  <si>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</si>
  <si>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</si>
  <si>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</si>
  <si>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</si>
  <si>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</si>
  <si>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</si>
  <si>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</si>
  <si>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</si>
  <si>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</si>
  <si>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</si>
  <si>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</si>
  <si>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</si>
  <si>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</si>
  <si>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</si>
  <si>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</si>
  <si>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</si>
  <si>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</si>
  <si>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</si>
  <si>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</si>
  <si>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</si>
  <si>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</si>
  <si>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</si>
  <si>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</si>
  <si>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</si>
  <si>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</si>
  <si>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</si>
  <si>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</si>
  <si>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</si>
  <si>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</si>
  <si>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</si>
  <si>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</si>
  <si>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</si>
  <si>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</si>
  <si>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</si>
  <si>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</si>
  <si>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</si>
  <si>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</si>
  <si>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</si>
  <si>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</si>
  <si>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</si>
  <si>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</si>
  <si>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</si>
  <si>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</si>
  <si>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</si>
  <si>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</si>
  <si>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</si>
  <si>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</si>
  <si>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</si>
  <si>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</si>
  <si>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</si>
  <si>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</si>
  <si>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</si>
  <si>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</si>
  <si>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</si>
  <si>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</si>
  <si>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</si>
  <si>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</si>
  <si>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</si>
  <si>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</si>
  <si>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</si>
  <si>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</si>
  <si>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</si>
  <si>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</si>
  <si>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</si>
  <si>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</si>
  <si>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</si>
  <si>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</si>
  <si>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</si>
  <si>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</si>
  <si>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</si>
  <si>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</si>
  <si>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</si>
  <si>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</si>
  <si>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</si>
  <si>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</si>
  <si>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</si>
  <si>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</si>
  <si>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</si>
  <si>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</si>
  <si>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</si>
  <si>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</si>
  <si>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</si>
  <si>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</si>
  <si>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</si>
  <si>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</si>
  <si>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</si>
  <si>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</si>
  <si>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</si>
  <si>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</si>
  <si>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</si>
  <si>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</si>
  <si>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</si>
  <si>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</si>
  <si>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</si>
  <si>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</si>
  <si>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</si>
  <si>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</si>
  <si>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</si>
  <si>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</si>
  <si>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</si>
  <si>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</si>
  <si>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</si>
  <si>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</si>
  <si>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</si>
  <si>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</si>
  <si>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</si>
  <si>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</si>
  <si>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</si>
  <si>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</si>
  <si>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</si>
  <si>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</si>
  <si>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</si>
  <si>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</si>
  <si>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</si>
  <si>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</si>
  <si>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</si>
  <si>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</si>
  <si>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</si>
  <si>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</si>
  <si>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</si>
  <si>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</si>
  <si>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</si>
  <si>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</si>
  <si>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</si>
  <si>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</si>
  <si>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</si>
  <si>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</si>
  <si>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</si>
  <si>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</si>
  <si>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</si>
  <si>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</si>
  <si>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</si>
  <si>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</si>
  <si>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</si>
  <si>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</si>
  <si>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</si>
  <si>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</si>
  <si>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</si>
  <si>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</si>
  <si>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</si>
  <si>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</si>
  <si>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</si>
  <si>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</si>
  <si>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</si>
  <si>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</si>
  <si>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</si>
  <si>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</si>
  <si>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</si>
  <si>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</si>
  <si>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</si>
  <si>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</si>
  <si>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</si>
  <si>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</si>
  <si>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</si>
  <si>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</si>
  <si>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</si>
  <si>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</si>
  <si>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</si>
  <si>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</si>
  <si>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</si>
  <si>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</si>
  <si>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</si>
  <si>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</si>
  <si>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</si>
  <si>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</si>
  <si>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</si>
  <si>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</si>
  <si>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</si>
  <si>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</si>
  <si>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</si>
  <si>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</si>
  <si>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</si>
  <si>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</si>
  <si>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</si>
  <si>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</si>
  <si>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</si>
  <si>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</si>
  <si>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</si>
  <si>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</si>
  <si>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</si>
  <si>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</si>
  <si>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</si>
  <si>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</si>
  <si>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</si>
  <si>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</si>
  <si>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</si>
  <si>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</si>
  <si>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</si>
  <si>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</si>
  <si>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</si>
  <si>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</si>
  <si>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</si>
  <si>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</si>
  <si>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</si>
  <si>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</si>
  <si>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</si>
  <si>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</si>
  <si>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</si>
  <si>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</si>
  <si>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</si>
  <si>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</si>
  <si>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</si>
  <si>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</si>
  <si>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</si>
  <si>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</si>
  <si>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</si>
  <si>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</si>
  <si>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</si>
  <si>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</si>
  <si>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</si>
  <si>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</si>
  <si>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</si>
  <si>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</si>
  <si>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</si>
  <si>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</si>
  <si>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</si>
  <si>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</si>
  <si>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</si>
  <si>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</si>
  <si>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</si>
  <si>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</si>
  <si>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</si>
  <si>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</si>
  <si>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</si>
  <si>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</si>
  <si>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</si>
  <si>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</si>
  <si>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</si>
  <si>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</si>
  <si>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</si>
  <si>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</si>
  <si>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</si>
  <si>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</si>
  <si>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</si>
  <si>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</si>
  <si>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</si>
  <si>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</si>
  <si>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</si>
  <si>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</si>
  <si>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</si>
  <si>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</si>
  <si>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</si>
  <si>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</si>
  <si>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</si>
  <si>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</si>
  <si>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</si>
  <si>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</si>
  <si>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</si>
  <si>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</si>
  <si>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</si>
  <si>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</si>
  <si>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</si>
  <si>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</si>
  <si>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</si>
  <si>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</si>
  <si>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</si>
  <si>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</si>
  <si>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</si>
  <si>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</si>
  <si>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</si>
  <si>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</si>
  <si>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</si>
  <si>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</si>
  <si>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</si>
  <si>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</si>
  <si>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</si>
  <si>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</si>
  <si>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</si>
  <si>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</si>
  <si>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</si>
  <si>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</si>
  <si>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</si>
  <si>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</si>
  <si>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</si>
  <si>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</si>
  <si>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</si>
  <si>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</si>
  <si>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</si>
  <si>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</si>
  <si>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</si>
  <si>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</si>
  <si>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</si>
  <si>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</si>
  <si>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</si>
  <si>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</si>
  <si>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</si>
  <si>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</si>
  <si>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</si>
  <si>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</si>
  <si>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</si>
  <si>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</si>
  <si>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</si>
  <si>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</si>
  <si>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</si>
  <si>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</si>
  <si>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</si>
  <si>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</si>
  <si>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</si>
  <si>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</si>
  <si>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</si>
  <si>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</si>
  <si>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</si>
  <si>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</si>
  <si>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</si>
  <si>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</si>
  <si>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</si>
  <si>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</si>
  <si>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</si>
  <si>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</si>
  <si>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</si>
  <si>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</si>
  <si>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</si>
  <si>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</si>
  <si>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</si>
  <si>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</si>
  <si>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</si>
  <si>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</si>
  <si>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</si>
  <si>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</si>
  <si>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</si>
  <si>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</si>
  <si>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</si>
  <si>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</si>
  <si>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</si>
  <si>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</si>
  <si>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</si>
  <si>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</si>
  <si>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</si>
  <si>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</si>
  <si>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</si>
  <si>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</si>
  <si>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</si>
  <si>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</si>
  <si>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</si>
  <si>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</si>
  <si>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</si>
  <si>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</si>
  <si>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</si>
  <si>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</si>
  <si>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</si>
  <si>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</si>
  <si>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</si>
  <si>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</si>
  <si>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</si>
  <si>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</si>
  <si>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</si>
  <si>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</si>
  <si>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</si>
  <si>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</si>
  <si>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</si>
  <si>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</si>
  <si>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</si>
  <si>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</si>
  <si>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</si>
  <si>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</si>
  <si>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</si>
  <si>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</si>
  <si>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</si>
  <si>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</si>
  <si>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</si>
  <si>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</si>
  <si>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</si>
  <si>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</si>
  <si>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</si>
  <si>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</si>
  <si>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</si>
  <si>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</si>
  <si>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</si>
  <si>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</si>
  <si>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</si>
  <si>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</si>
  <si>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</si>
  <si>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</si>
  <si>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</si>
  <si>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</si>
  <si>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</si>
  <si>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</si>
  <si>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</si>
  <si>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</si>
  <si>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</si>
  <si>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</si>
  <si>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</si>
  <si>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</si>
  <si>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</si>
  <si>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</si>
  <si>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</si>
  <si>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</si>
  <si>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</si>
  <si>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</si>
  <si>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</si>
  <si>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</si>
  <si>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</si>
  <si>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</si>
  <si>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</si>
  <si>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</si>
  <si>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</si>
  <si>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</si>
  <si>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</si>
  <si>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</si>
  <si>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</si>
  <si>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</si>
  <si>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</si>
  <si>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</si>
  <si>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</si>
  <si>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</si>
  <si>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</si>
  <si>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</si>
  <si>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</si>
  <si>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</si>
  <si>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</si>
  <si>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</si>
  <si>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</si>
  <si>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</si>
  <si>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</si>
  <si>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</si>
  <si>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</si>
  <si>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</si>
  <si>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</si>
  <si>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</si>
  <si>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</si>
  <si>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</si>
  <si>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</si>
  <si>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</si>
  <si>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</si>
  <si>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</si>
  <si>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</si>
  <si>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</si>
  <si>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</si>
  <si>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</si>
  <si>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</si>
  <si>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</si>
  <si>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</si>
  <si>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</si>
  <si>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</si>
  <si>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</si>
  <si>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</si>
  <si>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</si>
  <si>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</si>
  <si>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</si>
  <si>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</si>
  <si>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</si>
  <si>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</si>
  <si>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</si>
  <si>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</si>
  <si>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</si>
  <si>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</si>
  <si>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</si>
  <si>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</si>
  <si>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</si>
  <si>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</si>
  <si>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</si>
  <si>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</si>
  <si>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</si>
  <si>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</si>
  <si>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</si>
  <si>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</si>
  <si>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</si>
  <si>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</si>
  <si>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</si>
  <si>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</si>
  <si>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</si>
  <si>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</si>
  <si>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</si>
  <si>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</si>
  <si>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</si>
  <si>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</si>
  <si>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</si>
  <si>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</si>
  <si>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</si>
  <si>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</si>
  <si>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</si>
  <si>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</si>
  <si>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</si>
  <si>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</si>
  <si>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</si>
  <si>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</si>
  <si>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</si>
  <si>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</si>
  <si>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</si>
  <si>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</si>
  <si>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</si>
  <si>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</si>
  <si>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</si>
  <si>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</si>
  <si>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</si>
  <si>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</si>
  <si>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</si>
  <si>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</si>
  <si>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</si>
  <si>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</si>
  <si>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</si>
  <si>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</si>
  <si>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</si>
  <si>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</si>
  <si>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</si>
  <si>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</si>
  <si>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</si>
  <si>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</si>
  <si>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</si>
  <si>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</si>
  <si>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</si>
  <si>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</si>
  <si>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</si>
  <si>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</si>
  <si>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</si>
  <si>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</si>
  <si>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</si>
  <si>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</si>
  <si>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</si>
  <si>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</si>
  <si>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</si>
  <si>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</si>
  <si>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</si>
  <si>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</si>
  <si>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</si>
  <si>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</si>
  <si>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</si>
  <si>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</si>
  <si>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</si>
  <si>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</si>
  <si>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</si>
  <si>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</si>
  <si>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</si>
  <si>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</si>
  <si>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</si>
  <si>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</si>
  <si>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</si>
  <si>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</si>
  <si>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</si>
  <si>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</si>
  <si>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</si>
  <si>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</si>
  <si>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</si>
  <si>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</si>
  <si>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</si>
  <si>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</si>
  <si>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</si>
  <si>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</si>
  <si>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</si>
  <si>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</si>
  <si>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</si>
  <si>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</si>
  <si>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</si>
  <si>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</si>
  <si>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</si>
  <si>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</si>
  <si>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</si>
  <si>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</si>
  <si>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</si>
  <si>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</si>
  <si>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</si>
  <si>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</si>
  <si>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</si>
  <si>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</si>
  <si>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</si>
  <si>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</si>
  <si>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</si>
  <si>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</si>
  <si>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</si>
  <si>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</si>
  <si>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</si>
  <si>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</si>
  <si>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</si>
  <si>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</si>
  <si>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</si>
  <si>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</si>
  <si>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</si>
  <si>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</si>
  <si>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</si>
  <si>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</si>
  <si>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</si>
  <si>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</si>
  <si>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</si>
  <si>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</si>
  <si>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</si>
  <si>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</si>
  <si>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</si>
  <si>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</si>
  <si>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</si>
  <si>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</si>
  <si>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</si>
  <si>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</si>
  <si>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</si>
  <si>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</si>
  <si>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</si>
  <si>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</si>
  <si>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</si>
  <si>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</si>
  <si>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</si>
  <si>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</si>
  <si>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</si>
  <si>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</si>
  <si>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</si>
  <si>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</si>
  <si>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</si>
  <si>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</si>
  <si>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</si>
  <si>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</si>
  <si>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</si>
  <si>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</si>
  <si>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</si>
  <si>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</si>
  <si>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</si>
  <si>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</si>
  <si>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</si>
  <si>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</si>
  <si>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</si>
  <si>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</si>
  <si>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</si>
  <si>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</si>
  <si>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</si>
  <si>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</si>
  <si>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</si>
  <si>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</si>
  <si>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</si>
  <si>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</si>
  <si>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</si>
  <si>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</si>
  <si>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</si>
  <si>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</si>
  <si>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</si>
  <si>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</si>
  <si>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</si>
  <si>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</si>
  <si>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</si>
  <si>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</si>
  <si>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</si>
  <si>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</si>
  <si>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</si>
  <si>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</si>
  <si>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</si>
  <si>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</si>
  <si>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</si>
  <si>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</si>
  <si>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</si>
  <si>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</si>
  <si>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</si>
  <si>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</si>
  <si>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</si>
  <si>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</si>
  <si>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</si>
  <si>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</si>
  <si>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</si>
  <si>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</si>
  <si>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</si>
  <si>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</si>
  <si>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</si>
  <si>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</si>
  <si>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</si>
  <si>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</si>
  <si>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</si>
  <si>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</si>
  <si>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</si>
  <si>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</si>
  <si>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</si>
  <si>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</si>
  <si>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</si>
  <si>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</si>
  <si>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</si>
  <si>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</si>
  <si>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</si>
  <si>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</si>
  <si>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</si>
  <si>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</si>
  <si>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</si>
  <si>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</si>
  <si>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</si>
  <si>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</si>
  <si>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</si>
  <si>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</si>
  <si>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</si>
  <si>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</si>
  <si>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</si>
  <si>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</si>
  <si>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</si>
  <si>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</si>
  <si>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</si>
  <si>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</si>
  <si>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</si>
  <si>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</si>
  <si>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</si>
  <si>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</si>
  <si>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</si>
  <si>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</si>
  <si>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</si>
  <si>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</si>
  <si>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</si>
  <si>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</si>
  <si>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</si>
  <si>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</si>
  <si>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</si>
  <si>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</si>
  <si>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</si>
  <si>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</si>
  <si>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</si>
  <si>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</si>
  <si>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</si>
  <si>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</si>
  <si>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</si>
  <si>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</si>
  <si>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</si>
  <si>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</si>
  <si>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</si>
  <si>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</si>
  <si>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</si>
  <si>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</si>
  <si>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</si>
  <si>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</si>
  <si>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</si>
  <si>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</si>
  <si>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</si>
  <si>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</si>
  <si>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</si>
  <si>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</si>
  <si>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</si>
  <si>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</si>
  <si>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</si>
  <si>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</si>
  <si>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</si>
  <si>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</si>
  <si>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</si>
  <si>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</si>
  <si>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</si>
  <si>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</si>
  <si>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</si>
  <si>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</si>
  <si>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</si>
  <si>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</si>
  <si>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</si>
  <si>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</si>
  <si>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</si>
  <si>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</si>
  <si>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</si>
  <si>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</si>
  <si>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</si>
  <si>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</si>
  <si>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</si>
  <si>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</si>
  <si>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</si>
  <si>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</si>
  <si>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</si>
  <si>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</si>
  <si>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</si>
  <si>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</si>
  <si>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</si>
  <si>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</si>
  <si>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</si>
  <si>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</si>
  <si>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</si>
  <si>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</si>
  <si>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</si>
  <si>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</si>
  <si>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</si>
  <si>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</si>
  <si>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</si>
  <si>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</si>
  <si>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</si>
  <si>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</si>
  <si>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</si>
  <si>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</si>
  <si>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</si>
  <si>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</si>
  <si>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</si>
  <si>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</si>
  <si>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</si>
  <si>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</si>
  <si>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</si>
  <si>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</si>
  <si>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</si>
  <si>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</si>
  <si>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</si>
  <si>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</si>
  <si>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</si>
  <si>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</si>
  <si>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</si>
  <si>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</si>
  <si>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</si>
  <si>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</si>
  <si>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</si>
  <si>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</si>
  <si>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</si>
  <si>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</si>
  <si>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</si>
  <si>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</si>
  <si>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</si>
  <si>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</si>
  <si>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</si>
  <si>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</si>
  <si>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</si>
  <si>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</si>
  <si>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</si>
  <si>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</si>
  <si>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</si>
  <si>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</si>
  <si>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</si>
  <si>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</si>
  <si>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</si>
  <si>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</si>
  <si>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</si>
  <si>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</si>
  <si>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</si>
  <si>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</si>
  <si>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</si>
  <si>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</si>
  <si>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</si>
  <si>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</si>
  <si>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</si>
  <si>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</si>
  <si>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</si>
  <si>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</si>
  <si>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</si>
  <si>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</si>
  <si>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</si>
  <si>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</si>
  <si>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</si>
  <si>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</si>
  <si>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</si>
  <si>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</si>
  <si>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</si>
  <si>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</si>
  <si>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</si>
  <si>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</si>
  <si>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</si>
  <si>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</si>
  <si>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</si>
  <si>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</si>
  <si>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</si>
  <si>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</si>
  <si>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</si>
  <si>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</si>
  <si>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</si>
  <si>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</si>
  <si>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</si>
  <si>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</si>
  <si>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</si>
  <si>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</si>
  <si>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</si>
  <si>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</si>
  <si>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</si>
  <si>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</si>
  <si>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</si>
  <si>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</si>
  <si>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</si>
  <si>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</si>
  <si>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</si>
  <si>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</si>
  <si>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</si>
  <si>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</si>
  <si>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</si>
  <si>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</si>
  <si>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</si>
  <si>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</si>
  <si>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</si>
  <si>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</si>
  <si>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</si>
  <si>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</si>
  <si>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</si>
  <si>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</si>
  <si>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</si>
  <si>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</si>
  <si>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</si>
  <si>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</si>
  <si>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</si>
  <si>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</si>
  <si>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</si>
  <si>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</si>
  <si>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</si>
  <si>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</si>
  <si>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</si>
  <si>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</si>
  <si>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</si>
  <si>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</si>
  <si>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</si>
  <si>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</si>
  <si>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</si>
  <si>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</si>
  <si>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</si>
  <si>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</si>
  <si>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</si>
  <si>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</si>
  <si>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</si>
  <si>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</si>
  <si>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</si>
  <si>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</si>
  <si>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</si>
  <si>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</si>
  <si>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</si>
  <si>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</si>
  <si>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</si>
  <si>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</si>
  <si>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</si>
  <si>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</si>
  <si>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</si>
  <si>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</si>
  <si>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</si>
  <si>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</si>
  <si>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</si>
  <si>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</si>
  <si>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</si>
  <si>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</si>
  <si>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</si>
  <si>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</si>
  <si>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</si>
  <si>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</si>
  <si>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</si>
  <si>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</si>
  <si>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</si>
  <si>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</si>
  <si>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</si>
  <si>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</si>
  <si>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</si>
  <si>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</si>
  <si>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</si>
  <si>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</si>
  <si>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</si>
  <si>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</si>
  <si>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</si>
  <si>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</si>
  <si>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</si>
  <si>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</si>
  <si>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</si>
  <si>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</si>
  <si>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</si>
  <si>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</si>
  <si>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</si>
  <si>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</si>
  <si>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</si>
  <si>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</si>
  <si>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</si>
  <si>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</si>
  <si>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</si>
  <si>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</si>
  <si>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</si>
  <si>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</si>
  <si>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</si>
  <si>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</si>
  <si>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</si>
  <si>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</si>
  <si>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</si>
  <si>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</si>
  <si>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</si>
  <si>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</si>
  <si>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</si>
  <si>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</si>
  <si>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</si>
  <si>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</si>
  <si>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</si>
  <si>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</si>
  <si>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</si>
  <si>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</si>
  <si>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</si>
  <si>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</si>
  <si>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</si>
  <si>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</si>
  <si>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</si>
  <si>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</si>
  <si>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</si>
  <si>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</si>
  <si>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</si>
  <si>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</si>
  <si>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</si>
  <si>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</si>
  <si>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</si>
  <si>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</si>
  <si>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</si>
  <si>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</si>
  <si>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</si>
  <si>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</si>
  <si>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</si>
  <si>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</si>
  <si>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</si>
  <si>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</si>
  <si>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</si>
  <si>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</si>
  <si>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</si>
  <si>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</si>
  <si>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</si>
  <si>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</si>
  <si>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</si>
  <si>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</si>
  <si>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</si>
  <si>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</si>
  <si>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</si>
  <si>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</si>
  <si>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</si>
  <si>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</si>
  <si>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</si>
  <si>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</si>
  <si>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</si>
  <si>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</si>
  <si>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</si>
  <si>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</si>
  <si>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</si>
  <si>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</si>
  <si>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</si>
  <si>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</si>
  <si>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</si>
  <si>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</si>
  <si>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</si>
  <si>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</si>
  <si>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</si>
  <si>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</si>
  <si>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</si>
  <si>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</si>
  <si>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</si>
  <si>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</si>
  <si>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</si>
  <si>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</si>
  <si>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</si>
  <si>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</si>
  <si>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</si>
  <si>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</si>
  <si>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</si>
  <si>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</si>
  <si>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</si>
  <si>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</si>
  <si>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</si>
  <si>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</si>
  <si>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</si>
  <si>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</si>
  <si>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</si>
  <si>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</si>
  <si>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</si>
  <si>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</si>
  <si>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</si>
  <si>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</si>
  <si>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</si>
  <si>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</si>
  <si>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</si>
  <si>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</si>
  <si>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</si>
  <si>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</si>
  <si>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</si>
  <si>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</si>
  <si>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</si>
  <si>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</si>
  <si>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</si>
  <si>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</si>
  <si>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</si>
  <si>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</si>
  <si>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</si>
  <si>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</si>
  <si>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</si>
  <si>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</si>
  <si>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</si>
  <si>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</si>
  <si>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</si>
  <si>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</si>
  <si>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</si>
  <si>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</si>
  <si>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</si>
  <si>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</si>
  <si>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</si>
  <si>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</si>
  <si>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</si>
  <si>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</si>
  <si>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</si>
  <si>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</si>
  <si>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</si>
  <si>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</si>
  <si>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</si>
  <si>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</si>
  <si>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</si>
  <si>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</si>
  <si>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</si>
  <si>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</si>
  <si>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</si>
  <si>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</si>
  <si>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</si>
  <si>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</si>
  <si>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</si>
  <si>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</si>
  <si>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</si>
  <si>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</si>
  <si>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</si>
  <si>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</si>
  <si>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</si>
  <si>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</si>
  <si>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</si>
  <si>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</si>
  <si>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</si>
  <si>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</si>
  <si>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</si>
  <si>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</si>
  <si>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</si>
  <si>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</si>
  <si>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</si>
  <si>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</si>
  <si>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</si>
  <si>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</si>
  <si>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</si>
  <si>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</si>
  <si>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</si>
  <si>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</si>
  <si>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</si>
  <si>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</si>
  <si>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</si>
  <si>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</si>
  <si>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</si>
  <si>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</si>
  <si>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</si>
  <si>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</si>
  <si>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</si>
  <si>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</si>
  <si>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</si>
  <si>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</si>
  <si>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</si>
  <si>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</si>
  <si>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</si>
  <si>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</si>
  <si>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</si>
  <si>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</si>
  <si>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</si>
  <si>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</si>
  <si>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</si>
  <si>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</si>
  <si>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</si>
  <si>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</si>
  <si>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</si>
  <si>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</si>
  <si>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</si>
  <si>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</si>
  <si>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</si>
  <si>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</si>
  <si>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</si>
  <si>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</si>
  <si>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</si>
  <si>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</si>
  <si>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</si>
  <si>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</si>
  <si>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</si>
  <si>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</si>
  <si>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</si>
  <si>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</si>
  <si>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</si>
  <si>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</si>
  <si>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</si>
  <si>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</si>
  <si>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</si>
  <si>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</si>
  <si>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</si>
  <si>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</si>
  <si>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</si>
  <si>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</si>
  <si>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</si>
  <si>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</si>
  <si>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</si>
  <si>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</si>
  <si>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</si>
  <si>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</si>
  <si>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</si>
  <si>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</si>
  <si>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</si>
  <si>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</si>
  <si>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</si>
  <si>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</si>
  <si>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</si>
  <si>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</si>
  <si>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</si>
  <si>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</si>
  <si>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</si>
  <si>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</si>
  <si>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</si>
  <si>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</si>
  <si>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</si>
  <si>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</si>
  <si>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</si>
  <si>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</si>
  <si>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</si>
  <si>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</si>
  <si>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</si>
  <si>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</si>
  <si>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</si>
  <si>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</si>
  <si>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</si>
  <si>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</si>
  <si>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</si>
  <si>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</si>
  <si>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</si>
  <si>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</si>
  <si>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</si>
  <si>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</si>
  <si>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</si>
  <si>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</si>
  <si>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</si>
  <si>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</si>
  <si>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</si>
  <si>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</si>
  <si>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</si>
  <si>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</si>
  <si>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</si>
  <si>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</si>
  <si>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</si>
  <si>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</si>
  <si>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</si>
  <si>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</si>
  <si>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</si>
  <si>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</si>
  <si>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</si>
  <si>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</si>
  <si>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</si>
  <si>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</si>
  <si>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</si>
  <si>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</si>
  <si>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</si>
  <si>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</si>
  <si>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</si>
  <si>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</si>
  <si>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</si>
  <si>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</si>
  <si>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</si>
  <si>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</si>
  <si>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</si>
  <si>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</si>
  <si>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</si>
  <si>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</si>
  <si>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</si>
  <si>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</si>
  <si>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</si>
  <si>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</si>
  <si>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</si>
  <si>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</si>
  <si>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</si>
  <si>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</si>
  <si>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</si>
  <si>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</si>
  <si>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</si>
  <si>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</si>
  <si>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</si>
  <si>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</si>
  <si>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</si>
  <si>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</si>
  <si>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</si>
  <si>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</si>
  <si>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</si>
  <si>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</si>
  <si>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</si>
  <si>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</si>
  <si>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</si>
  <si>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</si>
  <si>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</si>
  <si>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</si>
  <si>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</si>
  <si>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</si>
  <si>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</si>
  <si>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</si>
  <si>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</si>
  <si>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</si>
  <si>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</si>
  <si>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</si>
  <si>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</si>
  <si>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</si>
  <si>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</si>
  <si>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</si>
  <si>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</si>
  <si>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</si>
  <si>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</si>
  <si>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</si>
  <si>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</si>
  <si>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</si>
  <si>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</si>
  <si>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</si>
  <si>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</si>
  <si>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</si>
  <si>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</si>
  <si>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</si>
  <si>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</si>
  <si>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</si>
  <si>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</si>
  <si>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</si>
  <si>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</si>
  <si>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</si>
  <si>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</si>
  <si>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</si>
  <si>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</si>
  <si>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</si>
  <si>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</si>
  <si>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</si>
  <si>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</si>
  <si>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</si>
  <si>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</si>
  <si>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</si>
  <si>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</si>
  <si>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</si>
  <si>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</si>
  <si>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</si>
  <si>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</si>
  <si>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</si>
  <si>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</si>
  <si>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</si>
  <si>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</si>
  <si>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</si>
  <si>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</si>
  <si>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</si>
  <si>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</si>
  <si>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</si>
  <si>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</si>
  <si>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</si>
  <si>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</si>
  <si>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</si>
  <si>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</si>
  <si>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</si>
  <si>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</si>
  <si>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</si>
  <si>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</si>
  <si>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</si>
  <si>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</si>
  <si>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</si>
  <si>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</si>
  <si>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</si>
  <si>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</si>
  <si>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</si>
  <si>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</si>
  <si>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</si>
  <si>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</si>
  <si>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</si>
  <si>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</si>
  <si>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</si>
  <si>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</si>
  <si>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</si>
  <si>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</si>
  <si>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</si>
  <si>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</si>
  <si>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</si>
  <si>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</si>
  <si>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</si>
  <si>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</si>
  <si>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</si>
  <si>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</si>
  <si>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</si>
  <si>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</si>
  <si>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</si>
  <si>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</si>
  <si>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</si>
  <si>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</si>
  <si>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</si>
  <si>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</si>
  <si>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</si>
  <si>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</si>
  <si>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</si>
  <si>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</si>
  <si>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</si>
  <si>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</si>
  <si>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</si>
  <si>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</si>
  <si>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</si>
  <si>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</si>
  <si>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</si>
  <si>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</si>
  <si>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</si>
  <si>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</si>
  <si>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</si>
  <si>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</si>
  <si>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</si>
  <si>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</si>
  <si>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</si>
  <si>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</si>
  <si>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</si>
  <si>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</si>
  <si>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</si>
  <si>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</si>
  <si>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</si>
  <si>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</si>
  <si>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</si>
  <si>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</si>
  <si>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</si>
  <si>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</si>
  <si>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</si>
  <si>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</si>
  <si>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</si>
  <si>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</si>
  <si>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</si>
  <si>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</si>
  <si>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</si>
  <si>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</si>
  <si>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</si>
  <si>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</si>
  <si>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</si>
  <si>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</si>
  <si>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</si>
  <si>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</si>
  <si>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</si>
  <si>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</si>
  <si>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</si>
  <si>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</si>
  <si>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</si>
  <si>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</si>
  <si>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</si>
  <si>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</si>
  <si>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</si>
  <si>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</si>
  <si>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</si>
  <si>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</si>
  <si>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</si>
  <si>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</si>
  <si>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</si>
  <si>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</si>
  <si>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</si>
  <si>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</si>
  <si>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</si>
  <si>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</si>
  <si>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</si>
  <si>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</si>
  <si>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</si>
  <si>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</si>
  <si>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</si>
  <si>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</si>
  <si>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</si>
  <si>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</si>
  <si>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</si>
  <si>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</si>
  <si>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</si>
  <si>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</si>
  <si>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</si>
  <si>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</si>
  <si>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</si>
  <si>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</si>
  <si>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</si>
  <si>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</si>
  <si>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</si>
  <si>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</si>
  <si>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</si>
  <si>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</si>
  <si>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</si>
  <si>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</si>
  <si>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</si>
  <si>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</si>
  <si>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</si>
  <si>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</si>
  <si>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</si>
  <si>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</si>
  <si>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</si>
  <si>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</si>
  <si>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</si>
  <si>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</si>
  <si>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</si>
  <si>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</si>
  <si>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</si>
  <si>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</si>
  <si>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</si>
  <si>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</si>
  <si>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</si>
  <si>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</si>
  <si>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</si>
  <si>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</si>
  <si>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</si>
  <si>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</si>
  <si>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</si>
  <si>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</si>
  <si>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</si>
  <si>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</si>
  <si>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</si>
  <si>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</si>
  <si>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</si>
  <si>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</si>
  <si>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</si>
  <si>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</si>
  <si>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</si>
  <si>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</si>
  <si>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</si>
  <si>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</si>
  <si>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</si>
  <si>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</si>
  <si>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</si>
  <si>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</si>
  <si>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</si>
  <si>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</si>
  <si>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</si>
  <si>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</si>
  <si>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</si>
  <si>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</si>
  <si>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</si>
  <si>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</si>
  <si>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</si>
  <si>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</si>
  <si>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</si>
  <si>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</si>
  <si>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</si>
  <si>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</si>
  <si>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</si>
  <si>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</si>
  <si>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</si>
  <si>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</si>
  <si>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</si>
  <si>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</si>
  <si>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</si>
  <si>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</si>
  <si>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</si>
  <si>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</si>
  <si>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</si>
  <si>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</si>
  <si>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</si>
  <si>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</si>
  <si>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</si>
  <si>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</si>
  <si>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</si>
  <si>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</si>
  <si>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</si>
  <si>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</si>
  <si>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</si>
  <si>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</si>
  <si>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</si>
  <si>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</si>
  <si>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</si>
  <si>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</si>
  <si>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</si>
  <si>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</si>
  <si>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</si>
  <si>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</si>
  <si>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</si>
  <si>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</si>
  <si>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</si>
  <si>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</si>
  <si>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</si>
  <si>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</si>
  <si>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</si>
  <si>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</si>
  <si>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</si>
  <si>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</si>
  <si>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</si>
  <si>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</si>
  <si>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</si>
  <si>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</si>
  <si>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</si>
  <si>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</si>
  <si>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</si>
  <si>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</si>
  <si>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</si>
  <si>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</si>
  <si>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</si>
  <si>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</si>
  <si>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</si>
  <si>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</si>
  <si>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</si>
  <si>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</si>
  <si>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</si>
  <si>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</si>
  <si>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</si>
  <si>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</si>
  <si>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</si>
  <si>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</si>
  <si>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</si>
  <si>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</si>
  <si>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</si>
  <si>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</si>
  <si>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</si>
  <si>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</si>
  <si>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</si>
  <si>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</si>
  <si>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</si>
  <si>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</si>
  <si>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</si>
  <si>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</si>
  <si>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</si>
  <si>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</si>
  <si>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</si>
  <si>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</si>
  <si>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</si>
  <si>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</si>
  <si>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</si>
  <si>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</si>
  <si>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</si>
  <si>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</si>
  <si>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</si>
  <si>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</si>
  <si>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</si>
  <si>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</si>
  <si>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</si>
  <si>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</si>
  <si>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</si>
  <si>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</si>
  <si>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</si>
  <si>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</si>
  <si>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</si>
  <si>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</si>
  <si>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</si>
  <si>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</si>
  <si>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</si>
  <si>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</si>
  <si>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</si>
  <si>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</si>
  <si>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</si>
  <si>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</si>
  <si>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</si>
  <si>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</si>
  <si>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</si>
  <si>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</si>
  <si>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</si>
  <si>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</si>
  <si>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</si>
  <si>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</si>
  <si>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</si>
  <si>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</si>
  <si>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</si>
  <si>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</si>
  <si>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</si>
  <si>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</si>
  <si>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</si>
  <si>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</si>
  <si>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</si>
  <si>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</si>
  <si>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</si>
  <si>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</si>
  <si>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</si>
  <si>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</si>
  <si>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</si>
  <si>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</si>
  <si>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</si>
  <si>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</si>
  <si>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</si>
  <si>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</si>
  <si>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</si>
  <si>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</si>
  <si>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</si>
  <si>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</si>
  <si>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</si>
  <si>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</si>
  <si>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</si>
  <si>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</si>
  <si>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</si>
  <si>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</si>
  <si>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</si>
  <si>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</si>
  <si>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</si>
  <si>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</si>
  <si>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</si>
  <si>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</si>
  <si>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</si>
  <si>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</si>
  <si>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</si>
  <si>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</si>
  <si>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</si>
  <si>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</si>
  <si>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</si>
  <si>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</si>
  <si>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</si>
  <si>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</si>
  <si>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</si>
  <si>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</si>
  <si>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</si>
  <si>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</si>
  <si>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</si>
  <si>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</si>
  <si>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</si>
  <si>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</si>
  <si>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</si>
  <si>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</si>
  <si>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</si>
  <si>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</si>
  <si>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</si>
  <si>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</si>
  <si>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</si>
  <si>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</si>
  <si>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</si>
  <si>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</si>
  <si>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</si>
  <si>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</si>
  <si>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</si>
  <si>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</si>
  <si>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</si>
  <si>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</si>
  <si>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</si>
  <si>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</si>
  <si>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</si>
  <si>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</si>
  <si>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</si>
  <si>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</si>
  <si>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</si>
  <si>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</si>
  <si>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</si>
  <si>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</si>
  <si>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</si>
  <si>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</si>
  <si>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</si>
  <si>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</si>
  <si>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</si>
  <si>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</si>
  <si>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</si>
  <si>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</si>
  <si>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</si>
  <si>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</si>
  <si>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</si>
  <si>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</si>
  <si>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</si>
  <si>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</si>
  <si>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</si>
  <si>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</si>
  <si>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</si>
  <si>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</si>
  <si>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</si>
  <si>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</si>
  <si>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</si>
  <si>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</si>
  <si>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</si>
  <si>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</si>
  <si>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</si>
  <si>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</si>
  <si>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</si>
  <si>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</si>
  <si>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</si>
  <si>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</si>
  <si>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</si>
  <si>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</si>
  <si>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</si>
  <si>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</si>
  <si>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</si>
  <si>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</si>
  <si>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</si>
  <si>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</si>
  <si>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</si>
  <si>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</si>
  <si>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</si>
  <si>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</si>
  <si>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</si>
  <si>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</si>
  <si>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</si>
  <si>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</si>
  <si>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</si>
  <si>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</si>
  <si>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</si>
  <si>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</si>
  <si>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</si>
  <si>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</si>
  <si>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</si>
  <si>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</si>
  <si>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</si>
  <si>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</si>
  <si>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</si>
  <si>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</si>
  <si>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</si>
  <si>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</si>
  <si>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</si>
  <si>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</si>
  <si>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</si>
  <si>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</si>
  <si>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</si>
  <si>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</si>
  <si>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</si>
  <si>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</si>
  <si>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</si>
  <si>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</si>
  <si>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</si>
  <si>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</si>
  <si>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</si>
  <si>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</si>
  <si>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</si>
  <si>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</si>
  <si>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</si>
  <si>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</si>
  <si>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</si>
  <si>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</si>
  <si>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</si>
  <si>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</si>
  <si>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</si>
  <si>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</si>
  <si>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</si>
  <si>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</si>
  <si>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</si>
  <si>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</si>
  <si>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</si>
  <si>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</si>
  <si>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</si>
  <si>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</si>
  <si>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</si>
  <si>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</si>
  <si>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</si>
  <si>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</si>
  <si>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</si>
  <si>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</si>
  <si>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</si>
  <si>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</si>
  <si>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</si>
  <si>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</si>
  <si>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</si>
  <si>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</si>
  <si>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</si>
  <si>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</si>
  <si>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</si>
  <si>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</si>
  <si>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</si>
  <si>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</si>
  <si>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</si>
  <si>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</si>
  <si>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</si>
  <si>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</si>
  <si>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</si>
  <si>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</si>
  <si>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</si>
  <si>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</si>
  <si>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</si>
  <si>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</si>
  <si>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</si>
  <si>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</si>
  <si>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</si>
  <si>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</si>
  <si>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</si>
  <si>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</si>
  <si>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</si>
  <si>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</si>
  <si>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</si>
  <si>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</si>
  <si>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</si>
  <si>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</si>
  <si>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</si>
  <si>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</si>
  <si>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</si>
  <si>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</si>
  <si>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</si>
  <si>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</si>
  <si>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</si>
  <si>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</si>
  <si>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</si>
  <si>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</si>
  <si>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</si>
  <si>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</si>
  <si>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</si>
  <si>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</si>
  <si>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</si>
  <si>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</si>
  <si>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</si>
  <si>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</si>
  <si>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</si>
  <si>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</si>
  <si>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</si>
  <si>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</si>
  <si>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</si>
  <si>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</si>
  <si>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</si>
  <si>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</si>
  <si>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</si>
  <si>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</si>
  <si>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</si>
  <si>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</si>
  <si>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</si>
  <si>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</si>
  <si>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</si>
  <si>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</si>
  <si>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</si>
  <si>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</si>
  <si>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</si>
  <si>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</si>
  <si>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</si>
  <si>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</si>
  <si>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</si>
  <si>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</si>
  <si>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</si>
  <si>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</si>
  <si>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</si>
  <si>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</si>
  <si>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</si>
  <si>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</si>
  <si>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</si>
  <si>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</si>
  <si>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</si>
  <si>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</si>
  <si>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</si>
  <si>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</si>
  <si>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</si>
  <si>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</si>
  <si>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</si>
  <si>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</si>
  <si>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</si>
  <si>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</si>
  <si>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</si>
  <si>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</si>
  <si>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</si>
  <si>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</si>
  <si>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</si>
  <si>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</si>
  <si>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</si>
  <si>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</si>
  <si>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</si>
  <si>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</si>
  <si>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</si>
  <si>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</si>
  <si>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</si>
  <si>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</si>
  <si>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</si>
  <si>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</si>
  <si>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</si>
  <si>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</si>
  <si>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</si>
  <si>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</si>
  <si>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</si>
  <si>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</si>
  <si>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</si>
  <si>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</si>
  <si>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</si>
  <si>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</si>
  <si>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</si>
  <si>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</si>
  <si>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</si>
  <si>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</si>
  <si>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</si>
  <si>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</si>
  <si>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</si>
  <si>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</si>
  <si>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</si>
  <si>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</si>
  <si>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</si>
  <si>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</si>
  <si>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</si>
  <si>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</si>
  <si>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</si>
  <si>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</si>
  <si>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</si>
  <si>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</si>
  <si>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</si>
  <si>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</si>
  <si>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</si>
  <si>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</si>
  <si>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</si>
  <si>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</si>
  <si>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</si>
  <si>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</si>
  <si>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</si>
  <si>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</si>
  <si>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</si>
  <si>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</si>
  <si>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</si>
  <si>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</si>
  <si>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</si>
  <si>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</si>
  <si>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</si>
  <si>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</si>
  <si>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</si>
  <si>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</si>
  <si>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</si>
  <si>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</si>
  <si>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</si>
  <si>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</si>
  <si>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</si>
  <si>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</si>
  <si>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</si>
  <si>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</si>
  <si>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</si>
  <si>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</si>
  <si>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</si>
  <si>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</si>
  <si>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</si>
  <si>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</si>
  <si>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</si>
  <si>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</si>
  <si>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</si>
  <si>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</si>
  <si>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</si>
  <si>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</si>
  <si>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</si>
  <si>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</si>
  <si>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</si>
  <si>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</si>
  <si>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</si>
  <si>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</si>
  <si>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</si>
  <si>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</si>
  <si>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</si>
  <si>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</si>
  <si>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</si>
  <si>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</si>
  <si>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</si>
  <si>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</si>
  <si>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</si>
  <si>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</si>
  <si>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</si>
  <si>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</si>
  <si>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</si>
  <si>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</si>
  <si>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</si>
  <si>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</si>
  <si>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</si>
  <si>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</si>
  <si>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</si>
  <si>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</si>
  <si>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</si>
  <si>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</si>
  <si>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</si>
  <si>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</si>
  <si>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</si>
  <si>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</si>
  <si>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</si>
  <si>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</si>
  <si>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</si>
  <si>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</si>
  <si>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</si>
  <si>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</si>
  <si>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</si>
  <si>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</si>
  <si>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</si>
  <si>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</si>
  <si>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</si>
  <si>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</si>
  <si>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</si>
  <si>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</si>
  <si>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</si>
  <si>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</si>
  <si>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</si>
  <si>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</si>
  <si>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</si>
  <si>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</si>
  <si>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</si>
  <si>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</si>
  <si>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</si>
  <si>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</si>
  <si>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</si>
  <si>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</si>
  <si>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</si>
  <si>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</si>
  <si>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</si>
  <si>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</si>
  <si>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</si>
  <si>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</si>
  <si>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</si>
  <si>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</si>
  <si>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</si>
  <si>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</si>
  <si>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</si>
  <si>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</si>
  <si>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</si>
  <si>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</si>
  <si>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</si>
  <si>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</si>
  <si>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</si>
  <si>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</si>
  <si>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</si>
  <si>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</si>
  <si>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</si>
  <si>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</si>
  <si>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</si>
  <si>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</si>
  <si>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</si>
  <si>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</si>
  <si>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</si>
  <si>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</si>
  <si>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</si>
  <si>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</si>
  <si>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</si>
  <si>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</si>
  <si>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</si>
  <si>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</si>
  <si>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</si>
  <si>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</si>
  <si>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</si>
  <si>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</si>
  <si>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</si>
  <si>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</si>
  <si>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</si>
  <si>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</si>
  <si>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</si>
  <si>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</si>
  <si>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</si>
  <si>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</si>
  <si>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</si>
  <si>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</si>
  <si>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</si>
  <si>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</si>
  <si>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</si>
  <si>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</si>
  <si>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</si>
  <si>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</si>
  <si>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</si>
  <si>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</si>
  <si>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</si>
  <si>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</si>
  <si>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</si>
  <si>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</si>
  <si>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</si>
  <si>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</si>
  <si>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</si>
  <si>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</si>
  <si>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</si>
  <si>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</si>
  <si>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</si>
  <si>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</si>
  <si>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</si>
  <si>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</si>
  <si>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</si>
  <si>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</si>
  <si>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</si>
  <si>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</si>
  <si>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</si>
  <si>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</si>
  <si>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</si>
  <si>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</si>
  <si>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</si>
  <si>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</si>
  <si>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</si>
  <si>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</si>
  <si>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</si>
  <si>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</si>
  <si>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</si>
  <si>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</si>
  <si>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</si>
  <si>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</si>
  <si>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</si>
  <si>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</si>
  <si>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</si>
  <si>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</si>
  <si>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</si>
  <si>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</si>
  <si>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</si>
  <si>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</si>
  <si>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</si>
  <si>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</si>
  <si>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</si>
  <si>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</si>
  <si>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</si>
  <si>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</si>
  <si>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</si>
  <si>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</si>
  <si>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</si>
  <si>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</si>
  <si>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</si>
  <si>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</si>
  <si>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</si>
  <si>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</si>
  <si>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</si>
  <si>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</si>
  <si>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</si>
  <si>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</si>
  <si>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</si>
  <si>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</si>
  <si>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</si>
  <si>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</si>
  <si>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</si>
  <si>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</si>
  <si>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</si>
  <si>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</si>
  <si>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</si>
  <si>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</si>
  <si>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</si>
  <si>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</si>
  <si>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</si>
  <si>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</si>
  <si>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</si>
  <si>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</si>
  <si>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</si>
  <si>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</si>
  <si>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</si>
  <si>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</si>
  <si>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</si>
  <si>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</si>
  <si>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</si>
  <si>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</si>
  <si>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</si>
  <si>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</si>
  <si>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</si>
  <si>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</si>
  <si>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</si>
  <si>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</si>
  <si>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</si>
  <si>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</si>
  <si>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</si>
  <si>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</si>
  <si>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</si>
  <si>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</si>
  <si>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</si>
  <si>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</si>
  <si>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</si>
  <si>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</si>
  <si>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</si>
  <si>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</si>
  <si>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</si>
  <si>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</si>
  <si>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</si>
  <si>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</si>
  <si>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</si>
  <si>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</si>
  <si>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</si>
  <si>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</si>
  <si>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</si>
  <si>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</si>
  <si>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</si>
  <si>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</si>
  <si>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</si>
  <si>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</si>
  <si>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</si>
  <si>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</si>
  <si>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</si>
  <si>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</si>
  <si>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</si>
  <si>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</si>
  <si>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</si>
  <si>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</si>
  <si>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</si>
  <si>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</si>
  <si>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</si>
  <si>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</si>
  <si>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</si>
  <si>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</si>
  <si>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</si>
  <si>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</si>
  <si>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</si>
  <si>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</si>
  <si>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</si>
  <si>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</si>
  <si>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</si>
  <si>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</si>
  <si>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</si>
  <si>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</si>
  <si>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</si>
  <si>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</si>
  <si>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</si>
  <si>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</si>
  <si>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</si>
  <si>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</si>
  <si>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</si>
  <si>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</si>
  <si>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</si>
  <si>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</si>
  <si>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</si>
  <si>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</si>
  <si>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</si>
  <si>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</si>
  <si>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</si>
  <si>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</si>
  <si>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</si>
  <si>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</si>
  <si>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</si>
  <si>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</si>
  <si>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</si>
  <si>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</si>
  <si>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</si>
  <si>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</si>
  <si>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</si>
  <si>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</si>
  <si>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</si>
  <si>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</si>
  <si>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</si>
  <si>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</si>
  <si>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</si>
  <si>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</si>
  <si>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</si>
  <si>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</si>
  <si>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</si>
  <si>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</si>
  <si>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</si>
  <si>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</si>
  <si>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</si>
  <si>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</si>
  <si>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</si>
  <si>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</si>
  <si>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</si>
  <si>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</si>
  <si>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</si>
  <si>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</si>
  <si>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</si>
  <si>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</si>
  <si>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</si>
  <si>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</si>
  <si>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</si>
  <si>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</si>
  <si>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</si>
  <si>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</si>
  <si>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</si>
  <si>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</si>
  <si>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</si>
  <si>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</si>
  <si>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</si>
  <si>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</si>
  <si>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</si>
  <si>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</si>
  <si>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</si>
  <si>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</si>
  <si>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</si>
  <si>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</si>
  <si>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</si>
  <si>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</si>
  <si>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</si>
  <si>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</si>
  <si>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</si>
  <si>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</si>
  <si>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</si>
  <si>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</si>
  <si>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</si>
  <si>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</si>
  <si>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</si>
  <si>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</si>
  <si>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</si>
  <si>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</si>
  <si>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</si>
  <si>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</si>
  <si>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</si>
  <si>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</si>
  <si>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</si>
  <si>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</si>
  <si>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</si>
  <si>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</si>
  <si>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</si>
  <si>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</si>
  <si>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</si>
  <si>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</si>
  <si>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</si>
  <si>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</si>
  <si>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</si>
  <si>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</si>
  <si>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</si>
  <si>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</si>
  <si>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</si>
  <si>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</si>
  <si>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</si>
  <si>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</si>
  <si>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</si>
  <si>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</si>
  <si>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</si>
  <si>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</si>
  <si>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</si>
  <si>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</si>
  <si>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</si>
  <si>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</si>
  <si>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</si>
  <si>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</si>
  <si>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</si>
  <si>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</si>
  <si>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</si>
  <si>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</si>
  <si>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</si>
  <si>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</si>
  <si>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</si>
  <si>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</si>
  <si>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</si>
  <si>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</si>
  <si>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</si>
  <si>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</si>
  <si>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</si>
  <si>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</si>
  <si>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</si>
  <si>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</si>
  <si>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</si>
  <si>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</si>
  <si>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</si>
  <si>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</si>
  <si>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</si>
  <si>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</si>
  <si>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</si>
  <si>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</si>
  <si>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</si>
  <si>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</si>
  <si>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</si>
  <si>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</si>
  <si>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</si>
  <si>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</si>
  <si>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</si>
  <si>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</si>
  <si>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</si>
  <si>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</si>
  <si>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</si>
  <si>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</si>
  <si>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</si>
  <si>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</si>
  <si>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</si>
  <si>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</si>
  <si>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</si>
  <si>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</si>
  <si>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</si>
  <si>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</si>
  <si>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</si>
  <si>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</si>
  <si>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</si>
  <si>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</si>
  <si>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</si>
  <si>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</si>
  <si>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</si>
  <si>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</si>
  <si>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</si>
  <si>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</si>
  <si>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</si>
  <si>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</si>
  <si>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</si>
  <si>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</si>
  <si>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</si>
  <si>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</si>
  <si>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</si>
  <si>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</si>
  <si>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</si>
  <si>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</si>
  <si>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</si>
  <si>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</si>
  <si>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</si>
  <si>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</si>
  <si>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</si>
  <si>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</si>
  <si>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</si>
  <si>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</si>
  <si>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</si>
  <si>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</si>
  <si>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</si>
  <si>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</si>
  <si>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</si>
  <si>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</si>
  <si>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</si>
  <si>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</si>
  <si>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</si>
  <si>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</si>
  <si>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</si>
  <si>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</si>
  <si>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</si>
  <si>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</si>
  <si>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</si>
  <si>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</si>
  <si>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</si>
  <si>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</si>
  <si>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</si>
  <si>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</si>
  <si>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</si>
  <si>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</si>
  <si>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</si>
  <si>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</si>
  <si>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</si>
  <si>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</si>
  <si>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</si>
  <si>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</si>
  <si>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</si>
  <si>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</si>
  <si>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</si>
  <si>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</si>
  <si>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</si>
  <si>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</si>
  <si>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</si>
  <si>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</si>
  <si>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</si>
  <si>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</si>
  <si>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</si>
  <si>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</si>
  <si>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</si>
  <si>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</si>
  <si>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</si>
  <si>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</si>
  <si>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</si>
  <si>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</si>
  <si>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</si>
  <si>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</si>
  <si>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</si>
  <si>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</si>
  <si>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</si>
  <si>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</si>
  <si>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</si>
  <si>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</si>
  <si>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</si>
  <si>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</si>
  <si>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</si>
  <si>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</si>
  <si>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</si>
  <si>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</si>
  <si>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</si>
  <si>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</si>
  <si>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</si>
  <si>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</si>
  <si>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</si>
  <si>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</si>
  <si>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</si>
  <si>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</si>
  <si>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</si>
  <si>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</si>
  <si>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</si>
  <si>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</si>
  <si>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</si>
  <si>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</si>
  <si>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</si>
  <si>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</si>
  <si>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</si>
  <si>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</si>
  <si>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</si>
  <si>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</si>
  <si>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</si>
  <si>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</si>
  <si>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</si>
  <si>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</si>
  <si>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</si>
  <si>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</si>
  <si>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</si>
  <si>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</si>
  <si>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</si>
  <si>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</si>
  <si>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</si>
  <si>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</si>
  <si>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</si>
  <si>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</si>
  <si>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</si>
  <si>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</si>
  <si>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</si>
  <si>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</si>
  <si>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</si>
  <si>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</si>
  <si>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</si>
  <si>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</si>
  <si>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</si>
  <si>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</si>
  <si>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</si>
  <si>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</si>
  <si>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</si>
  <si>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</si>
  <si>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</si>
  <si>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</si>
  <si>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</si>
  <si>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</si>
  <si>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</si>
  <si>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</si>
  <si>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</si>
  <si>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</si>
  <si>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</si>
  <si>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</si>
  <si>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</si>
  <si>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</si>
  <si>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</si>
  <si>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</si>
  <si>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</si>
  <si>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</si>
  <si>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</si>
  <si>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</si>
  <si>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</si>
  <si>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</si>
  <si>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</si>
  <si>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</si>
  <si>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</si>
  <si>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</si>
  <si>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</si>
  <si>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</si>
  <si>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</si>
  <si>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</si>
  <si>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</si>
  <si>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</si>
  <si>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</si>
  <si>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</si>
  <si>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</si>
  <si>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</si>
  <si>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</si>
  <si>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</si>
  <si>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</si>
  <si>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</si>
  <si>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</si>
  <si>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</si>
  <si>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</si>
  <si>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</si>
  <si>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</si>
  <si>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</si>
  <si>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</si>
  <si>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</si>
  <si>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</si>
  <si>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</si>
  <si>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</si>
  <si>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</si>
  <si>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</si>
  <si>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</si>
  <si>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</si>
  <si>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</si>
  <si>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</si>
  <si>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</si>
  <si>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</si>
  <si>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</si>
  <si>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</si>
  <si>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</si>
  <si>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</si>
  <si>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</si>
  <si>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</si>
  <si>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</si>
  <si>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</si>
  <si>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</si>
  <si>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</si>
  <si>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</si>
  <si>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</si>
  <si>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</si>
  <si>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</si>
  <si>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</si>
  <si>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</si>
  <si>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</si>
  <si>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</si>
  <si>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</si>
  <si>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</si>
  <si>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</si>
  <si>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</si>
  <si>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</si>
  <si>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</si>
  <si>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</si>
  <si>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</si>
  <si>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</si>
  <si>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</si>
  <si>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</si>
  <si>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</si>
  <si>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</si>
  <si>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</si>
  <si>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</si>
  <si>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</si>
  <si>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</si>
  <si>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</si>
  <si>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</si>
  <si>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</si>
  <si>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</si>
  <si>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</si>
  <si>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</si>
  <si>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</si>
  <si>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</si>
  <si>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</si>
  <si>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</si>
  <si>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</si>
  <si>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</si>
  <si>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</si>
  <si>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</si>
  <si>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</si>
  <si>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</si>
  <si>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</si>
  <si>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</si>
  <si>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</si>
  <si>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</si>
  <si>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</si>
  <si>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</si>
  <si>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</si>
  <si>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</si>
  <si>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</si>
  <si>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</si>
  <si>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</si>
  <si>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</si>
  <si>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</si>
  <si>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</si>
  <si>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</si>
  <si>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</si>
  <si>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</si>
  <si>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</si>
  <si>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</si>
  <si>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</si>
  <si>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</si>
  <si>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</si>
  <si>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</si>
  <si>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</si>
  <si>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</si>
  <si>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</si>
  <si>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</si>
  <si>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</si>
  <si>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</si>
  <si>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</si>
  <si>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</si>
  <si>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</si>
  <si>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</si>
  <si>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</si>
  <si>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</si>
  <si>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</si>
  <si>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</si>
  <si>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</si>
  <si>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</si>
  <si>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</si>
  <si>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</si>
  <si>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</si>
  <si>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</si>
  <si>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</si>
  <si>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</si>
  <si>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</si>
  <si>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</si>
  <si>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</si>
  <si>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</si>
  <si>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</si>
  <si>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</si>
  <si>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</si>
  <si>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</si>
  <si>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</si>
  <si>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</si>
  <si>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</si>
  <si>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</si>
  <si>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</si>
  <si>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</si>
  <si>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</si>
  <si>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</si>
  <si>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</si>
  <si>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</si>
  <si>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</si>
  <si>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</si>
  <si>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</si>
  <si>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</si>
  <si>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</si>
  <si>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</si>
  <si>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</si>
  <si>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</si>
  <si>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</si>
  <si>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</si>
  <si>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</si>
  <si>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</si>
  <si>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</si>
  <si>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</si>
  <si>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</si>
  <si>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</si>
  <si>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</si>
  <si>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</si>
  <si>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</si>
  <si>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</si>
  <si>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</si>
  <si>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</si>
  <si>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</si>
  <si>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</si>
  <si>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</si>
  <si>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</si>
  <si>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</si>
  <si>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</si>
  <si>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</si>
  <si>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</si>
  <si>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</si>
  <si>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</si>
  <si>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</si>
  <si>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</si>
  <si>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</si>
  <si>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</si>
  <si>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</si>
  <si>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</si>
  <si>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</si>
  <si>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</si>
  <si>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</si>
  <si>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</si>
  <si>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</si>
  <si>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</si>
  <si>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</si>
  <si>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</si>
  <si>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</si>
  <si>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</si>
  <si>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</si>
  <si>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</si>
  <si>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</si>
  <si>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</si>
  <si>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</si>
  <si>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</si>
  <si>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</si>
  <si>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</si>
  <si>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</si>
  <si>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</si>
  <si>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</si>
  <si>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</si>
  <si>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</si>
  <si>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</si>
  <si>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</si>
  <si>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</si>
  <si>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</si>
  <si>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</si>
  <si>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</si>
  <si>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</si>
  <si>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</si>
  <si>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</si>
  <si>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</si>
  <si>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</si>
  <si>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</si>
  <si>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</si>
  <si>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</si>
  <si>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</si>
  <si>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</si>
  <si>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</si>
  <si>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</si>
  <si>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</si>
  <si>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</si>
  <si>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</si>
  <si>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</si>
  <si>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</si>
  <si>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</si>
  <si>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</si>
  <si>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</si>
  <si>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</si>
  <si>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</si>
  <si>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</si>
  <si>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</si>
  <si>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</si>
  <si>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</si>
  <si>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</si>
  <si>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</si>
  <si>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</si>
  <si>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</si>
  <si>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</si>
  <si>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</si>
  <si>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</si>
  <si>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</si>
  <si>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</si>
  <si>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</si>
  <si>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</si>
  <si>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</si>
  <si>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</si>
  <si>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</si>
  <si>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</si>
  <si>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</si>
  <si>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</si>
  <si>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</si>
  <si>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</si>
  <si>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</si>
  <si>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</si>
  <si>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</si>
  <si>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</si>
  <si>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</si>
  <si>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</si>
  <si>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</si>
  <si>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</si>
  <si>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</si>
  <si>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</si>
  <si>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</si>
  <si>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</si>
  <si>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</si>
  <si>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</si>
  <si>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</si>
  <si>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</si>
  <si>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</si>
  <si>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</si>
  <si>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</si>
  <si>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</si>
  <si>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</si>
  <si>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</si>
  <si>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</si>
  <si>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</si>
  <si>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</si>
  <si>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</si>
  <si>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</si>
  <si>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</si>
  <si>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</si>
  <si>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</si>
  <si>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</si>
  <si>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</si>
  <si>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</si>
  <si>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</si>
  <si>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</si>
  <si>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</si>
  <si>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</si>
  <si>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</si>
  <si>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</si>
  <si>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</si>
  <si>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</si>
  <si>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</si>
  <si>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</si>
  <si>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</si>
  <si>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</si>
  <si>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</si>
  <si>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</si>
  <si>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</si>
  <si>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</si>
  <si>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</si>
  <si>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</si>
  <si>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</si>
  <si>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</si>
  <si>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</si>
  <si>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</si>
  <si>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</si>
  <si>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</si>
  <si>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</si>
  <si>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</si>
  <si>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</si>
  <si>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</si>
  <si>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</si>
  <si>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</si>
  <si>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</si>
  <si>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</si>
  <si>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</si>
  <si>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</si>
  <si>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</si>
  <si>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</si>
  <si>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</si>
  <si>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</si>
  <si>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</si>
  <si>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</si>
  <si>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</si>
  <si>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</si>
  <si>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</si>
  <si>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</si>
  <si>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</si>
  <si>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</si>
  <si>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</si>
  <si>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</si>
  <si>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</si>
  <si>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</si>
  <si>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</si>
  <si>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</si>
  <si>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</si>
  <si>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</si>
  <si>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</si>
  <si>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</si>
  <si>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</si>
  <si>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</si>
  <si>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</si>
  <si>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</si>
  <si>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</si>
  <si>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</si>
  <si>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</si>
  <si>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</si>
  <si>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</si>
  <si>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</si>
  <si>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</si>
  <si>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</si>
  <si>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</si>
  <si>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</si>
  <si>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</si>
  <si>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</si>
  <si>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</si>
  <si>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</si>
  <si>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</si>
  <si>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</si>
  <si>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</si>
  <si>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</si>
  <si>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</si>
  <si>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</si>
  <si>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</si>
  <si>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</si>
  <si>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</si>
  <si>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</si>
  <si>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</si>
  <si>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</si>
  <si>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</si>
  <si>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</si>
  <si>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</si>
  <si>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</si>
  <si>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</si>
  <si>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</si>
  <si>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</si>
  <si>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</si>
  <si>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</si>
  <si>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</si>
  <si>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</si>
  <si>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</si>
  <si>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</si>
  <si>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</si>
  <si>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</si>
  <si>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</si>
  <si>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</si>
  <si>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</si>
  <si>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</si>
  <si>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</si>
  <si>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</si>
  <si>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</si>
  <si>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</si>
  <si>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</si>
  <si>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</si>
  <si>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</si>
  <si>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</si>
  <si>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</si>
  <si>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</si>
  <si>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</si>
  <si>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</si>
  <si>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</si>
  <si>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</si>
  <si>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</si>
  <si>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</si>
  <si>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</si>
  <si>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</si>
  <si>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</si>
  <si>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</si>
  <si>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</si>
  <si>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</si>
  <si>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</si>
  <si>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</si>
  <si>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</si>
  <si>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</si>
  <si>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</si>
  <si>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</si>
  <si>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</si>
  <si>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</si>
  <si>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</si>
  <si>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</si>
  <si>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</si>
  <si>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</si>
  <si>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</si>
  <si>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</si>
  <si>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</si>
  <si>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</si>
  <si>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</si>
  <si>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</si>
  <si>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</si>
  <si>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</si>
  <si>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</si>
  <si>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</si>
  <si>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</si>
  <si>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</si>
  <si>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</si>
  <si>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</si>
  <si>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</si>
  <si>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</si>
  <si>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</si>
  <si>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</si>
  <si>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</si>
  <si>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</si>
  <si>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</si>
  <si>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</si>
  <si>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</si>
  <si>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</si>
  <si>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</si>
  <si>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</si>
  <si>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</si>
  <si>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</si>
  <si>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</si>
  <si>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</si>
  <si>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</si>
  <si>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</si>
  <si>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</si>
  <si>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</si>
  <si>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</si>
  <si>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</si>
  <si>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</si>
  <si>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</si>
  <si>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</si>
  <si>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</si>
  <si>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</si>
  <si>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</si>
  <si>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</si>
  <si>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</si>
  <si>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</si>
  <si>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</si>
  <si>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</si>
  <si>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</si>
  <si>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</si>
  <si>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</si>
  <si>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</si>
  <si>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</si>
  <si>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</si>
  <si>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</si>
  <si>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</si>
  <si>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</si>
  <si>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</si>
  <si>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</si>
  <si>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</si>
  <si>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</si>
  <si>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</si>
  <si>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</si>
  <si>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</si>
  <si>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</si>
  <si>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</si>
  <si>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</si>
  <si>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</si>
  <si>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</si>
  <si>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</si>
  <si>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</si>
  <si>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</si>
  <si>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</si>
  <si>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</si>
  <si>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</si>
  <si>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</si>
  <si>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</si>
  <si>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</si>
  <si>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</si>
  <si>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</si>
  <si>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</si>
  <si>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</si>
  <si>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</si>
  <si>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</si>
  <si>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</si>
  <si>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</si>
  <si>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</si>
  <si>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</si>
  <si>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</si>
  <si>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</si>
  <si>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</si>
  <si>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</si>
  <si>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</si>
  <si>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</si>
  <si>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</si>
  <si>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</si>
  <si>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</si>
  <si>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</si>
  <si>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</si>
  <si>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</si>
  <si>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</si>
  <si>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</si>
  <si>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</si>
  <si>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</si>
  <si>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</si>
  <si>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</si>
  <si>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</si>
  <si>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</si>
  <si>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</si>
  <si>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</si>
  <si>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</si>
  <si>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</si>
  <si>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</si>
  <si>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</si>
  <si>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</si>
  <si>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</si>
  <si>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</si>
  <si>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</si>
  <si>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</si>
  <si>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</si>
  <si>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</si>
  <si>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</si>
  <si>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</si>
  <si>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</si>
  <si>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</si>
  <si>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</si>
  <si>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</si>
  <si>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</si>
  <si>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</si>
  <si>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</si>
  <si>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</si>
  <si>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</si>
  <si>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</si>
  <si>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</si>
  <si>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</si>
  <si>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</si>
  <si>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</si>
  <si>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</si>
  <si>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</si>
  <si>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</si>
  <si>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</si>
  <si>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</si>
  <si>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</si>
  <si>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</si>
  <si>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</si>
  <si>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</si>
  <si>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</si>
  <si>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</si>
  <si>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</si>
  <si>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</si>
  <si>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</si>
  <si>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</si>
  <si>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</si>
  <si>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</si>
  <si>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</si>
  <si>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</si>
  <si>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</si>
  <si>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</si>
  <si>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</si>
  <si>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</si>
  <si>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</si>
  <si>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</si>
  <si>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</si>
  <si>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</si>
  <si>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</si>
  <si>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</si>
  <si>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</si>
  <si>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</si>
  <si>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</si>
  <si>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</si>
  <si>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</si>
  <si>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</si>
  <si>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</si>
  <si>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</si>
  <si>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</si>
  <si>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</si>
  <si>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</si>
  <si>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</si>
  <si>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</si>
  <si>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</si>
  <si>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</si>
  <si>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</si>
  <si>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</si>
  <si>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</si>
  <si>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</si>
  <si>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</si>
  <si>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</si>
  <si>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</si>
  <si>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</si>
  <si>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</si>
  <si>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</si>
  <si>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</si>
  <si>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</si>
  <si>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</si>
  <si>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</si>
  <si>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</si>
  <si>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</si>
  <si>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</si>
  <si>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</si>
  <si>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</si>
  <si>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</si>
  <si>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</si>
  <si>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</si>
  <si>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</si>
  <si>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</si>
  <si>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</si>
  <si>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</si>
  <si>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</si>
  <si>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</si>
  <si>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</si>
  <si>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</si>
  <si>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</si>
  <si>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</si>
  <si>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</si>
  <si>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</si>
  <si>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</si>
  <si>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</si>
  <si>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</si>
  <si>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</si>
  <si>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</si>
  <si>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</si>
  <si>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</si>
  <si>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</si>
  <si>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</si>
  <si>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</si>
  <si>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</si>
  <si>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</si>
  <si>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</si>
  <si>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</si>
  <si>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</si>
  <si>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</si>
  <si>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</si>
  <si>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</si>
  <si>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</si>
  <si>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</si>
  <si>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</si>
  <si>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</si>
  <si>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</si>
  <si>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</si>
  <si>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</si>
  <si>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</si>
  <si>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</si>
  <si>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</si>
  <si>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</si>
  <si>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</si>
  <si>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</si>
  <si>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</si>
  <si>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</si>
  <si>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</si>
  <si>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</si>
  <si>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</si>
  <si>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</si>
  <si>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</si>
  <si>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</si>
  <si>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</si>
  <si>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</si>
  <si>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</si>
  <si>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</si>
  <si>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</si>
  <si>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</si>
  <si>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</si>
  <si>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</si>
  <si>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</si>
  <si>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</si>
  <si>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</si>
  <si>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</si>
  <si>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</si>
  <si>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</si>
  <si>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</si>
  <si>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</si>
  <si>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</si>
  <si>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</si>
  <si>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</si>
  <si>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</si>
  <si>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</si>
  <si>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</si>
  <si>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</si>
  <si>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</si>
  <si>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</si>
  <si>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</si>
  <si>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</si>
  <si>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</si>
  <si>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</si>
  <si>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</si>
  <si>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</si>
  <si>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</si>
  <si>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</si>
  <si>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</si>
  <si>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</si>
  <si>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</si>
  <si>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</si>
  <si>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</si>
  <si>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</si>
  <si>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</si>
  <si>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</si>
  <si>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</si>
  <si>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</si>
  <si>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</si>
  <si>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</si>
  <si>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</si>
  <si>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</si>
  <si>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</si>
  <si>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</si>
  <si>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</si>
  <si>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</si>
  <si>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</si>
  <si>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</si>
  <si>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</si>
  <si>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</si>
  <si>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</si>
  <si>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</si>
  <si>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</si>
  <si>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</si>
  <si>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</si>
  <si>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</si>
  <si>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</si>
  <si>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</si>
  <si>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</si>
  <si>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</si>
  <si>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</si>
  <si>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</si>
  <si>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</si>
  <si>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</si>
  <si>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</si>
  <si>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</si>
  <si>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</si>
  <si>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</si>
  <si>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</si>
  <si>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</si>
  <si>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</si>
  <si>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</si>
  <si>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</si>
  <si>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</si>
  <si>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</si>
  <si>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</si>
  <si>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</si>
  <si>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</si>
  <si>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</si>
  <si>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</si>
  <si>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</si>
  <si>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</si>
  <si>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</si>
  <si>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</si>
  <si>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</si>
  <si>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</si>
  <si>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</si>
  <si>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</si>
  <si>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</si>
  <si>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</si>
  <si>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</si>
  <si>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</si>
  <si>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</si>
  <si>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</si>
  <si>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</si>
  <si>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</si>
  <si>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</si>
  <si>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</si>
  <si>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</si>
  <si>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</si>
  <si>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</si>
  <si>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</si>
  <si>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</si>
  <si>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</si>
  <si>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</si>
  <si>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</si>
  <si>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</si>
  <si>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</si>
  <si>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</si>
  <si>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</si>
  <si>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</si>
  <si>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</si>
  <si>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</si>
  <si>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</si>
  <si>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</si>
  <si>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</si>
  <si>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</si>
  <si>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</si>
  <si>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</si>
  <si>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</si>
  <si>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</si>
  <si>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</si>
  <si>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</si>
  <si>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</si>
  <si>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</si>
  <si>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</si>
  <si>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</si>
  <si>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</si>
  <si>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</si>
  <si>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</si>
  <si>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</si>
  <si>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</si>
  <si>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</si>
  <si>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</si>
  <si>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</si>
  <si>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</si>
  <si>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</si>
  <si>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</si>
  <si>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</si>
  <si>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</si>
  <si>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</si>
  <si>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</si>
  <si>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</si>
  <si>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</si>
  <si>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</si>
  <si>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</si>
  <si>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</si>
  <si>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</si>
  <si>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</si>
  <si>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</si>
  <si>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</si>
  <si>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</si>
  <si>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</si>
  <si>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</si>
  <si>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</si>
  <si>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</si>
  <si>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</si>
  <si>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</si>
  <si>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</si>
  <si>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</si>
  <si>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</si>
  <si>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</si>
  <si>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</si>
  <si>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</si>
  <si>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</si>
  <si>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</si>
  <si>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</si>
  <si>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</si>
  <si>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</si>
  <si>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</si>
  <si>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</si>
  <si>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</si>
  <si>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</si>
  <si>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</si>
  <si>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</si>
  <si>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</si>
  <si>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</si>
  <si>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</si>
  <si>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</si>
  <si>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</si>
  <si>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</si>
  <si>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</si>
  <si>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</si>
  <si>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</si>
  <si>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</si>
  <si>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</si>
  <si>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</si>
  <si>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</si>
  <si>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</si>
  <si>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</si>
  <si>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</si>
  <si>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</si>
  <si>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</si>
  <si>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</si>
  <si>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</si>
  <si>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</si>
  <si>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</si>
  <si>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</si>
  <si>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</si>
  <si>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</si>
  <si>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</si>
  <si>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</si>
  <si>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</si>
  <si>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</si>
  <si>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</si>
  <si>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</si>
  <si>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</si>
  <si>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</si>
  <si>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</si>
  <si>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</si>
  <si>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</si>
  <si>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</si>
  <si>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</si>
  <si>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</si>
  <si>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</si>
  <si>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</si>
  <si>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</si>
  <si>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</si>
  <si>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</si>
  <si>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</si>
  <si>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</si>
  <si>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</si>
  <si>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</si>
  <si>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</si>
  <si>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</si>
  <si>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</si>
  <si>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</si>
  <si>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</si>
  <si>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</si>
  <si>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</si>
  <si>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</si>
  <si>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</si>
  <si>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</si>
  <si>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</si>
  <si>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</si>
  <si>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</si>
  <si>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</si>
  <si>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</si>
  <si>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</si>
  <si>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</si>
  <si>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</si>
  <si>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</si>
  <si>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</si>
  <si>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</si>
  <si>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</si>
  <si>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</si>
  <si>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</si>
  <si>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</si>
  <si>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</si>
  <si>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</si>
  <si>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</si>
  <si>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</si>
  <si>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</si>
  <si>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</si>
  <si>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</si>
  <si>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</si>
  <si>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</si>
  <si>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</si>
  <si>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</si>
  <si>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</si>
  <si>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</si>
  <si>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</si>
  <si>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</si>
  <si>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</si>
  <si>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</si>
  <si>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</si>
  <si>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</si>
  <si>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</si>
  <si>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</si>
  <si>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</si>
  <si>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</si>
  <si>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</si>
  <si>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</si>
  <si>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</si>
  <si>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</si>
  <si>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</si>
  <si>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</si>
  <si>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</si>
  <si>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</si>
  <si>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</si>
  <si>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</si>
  <si>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</si>
  <si>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</si>
  <si>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</si>
  <si>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</si>
  <si>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</si>
  <si>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</si>
  <si>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</si>
  <si>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</si>
  <si>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</si>
  <si>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</si>
  <si>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</si>
  <si>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</si>
  <si>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</si>
  <si>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</si>
  <si>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</si>
  <si>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</si>
  <si>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</si>
  <si>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</si>
  <si>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</si>
  <si>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</si>
  <si>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</si>
  <si>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</si>
  <si>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</si>
  <si>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</si>
  <si>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</si>
  <si>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</si>
  <si>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</si>
  <si>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</si>
  <si>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</si>
  <si>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</si>
  <si>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</si>
  <si>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</si>
  <si>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</si>
  <si>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</si>
  <si>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</si>
  <si>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</si>
  <si>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</si>
  <si>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</si>
  <si>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</si>
  <si>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</si>
  <si>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</si>
  <si>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</si>
  <si>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</si>
  <si>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</si>
  <si>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</si>
  <si>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</si>
  <si>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</si>
  <si>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</si>
  <si>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</si>
  <si>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</si>
  <si>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</si>
  <si>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</si>
  <si>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</si>
  <si>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</si>
  <si>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</si>
  <si>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</si>
  <si>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</si>
  <si>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</si>
  <si>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</si>
  <si>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</si>
  <si>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</si>
  <si>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</si>
  <si>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</si>
  <si>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</si>
  <si>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</si>
  <si>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</si>
  <si>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</si>
  <si>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</si>
  <si>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</si>
  <si>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</si>
  <si>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</si>
  <si>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</si>
  <si>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</si>
  <si>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</si>
  <si>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</si>
  <si>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</si>
  <si>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</si>
  <si>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</si>
  <si>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</si>
  <si>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</si>
  <si>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</si>
  <si>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</si>
  <si>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</si>
  <si>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</si>
  <si>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</si>
  <si>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</si>
  <si>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</si>
  <si>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</si>
  <si>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</si>
  <si>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</si>
  <si>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</si>
  <si>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</si>
  <si>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</si>
  <si>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</si>
  <si>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</si>
  <si>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</si>
  <si>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</si>
  <si>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</si>
  <si>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</si>
  <si>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</si>
  <si>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</si>
  <si>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</si>
  <si>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</si>
  <si>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</si>
  <si>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</si>
  <si>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</si>
  <si>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</si>
  <si>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</si>
  <si>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</si>
  <si>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</si>
  <si>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</si>
  <si>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</si>
  <si>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</si>
  <si>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</si>
  <si>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</si>
  <si>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</si>
  <si>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</si>
  <si>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</si>
  <si>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</si>
  <si>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</si>
  <si>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</si>
  <si>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</si>
  <si>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</si>
  <si>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</si>
  <si>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</si>
  <si>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</si>
  <si>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</si>
  <si>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</si>
  <si>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</si>
  <si>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</si>
  <si>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</si>
  <si>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</si>
  <si>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</si>
  <si>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</si>
  <si>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</si>
  <si>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</si>
  <si>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</si>
  <si>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</si>
  <si>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</si>
  <si>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</si>
  <si>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</si>
  <si>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</si>
  <si>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</si>
  <si>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</si>
  <si>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</si>
  <si>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</si>
  <si>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</si>
  <si>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</si>
  <si>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</si>
  <si>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</si>
  <si>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</si>
  <si>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</si>
  <si>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</si>
  <si>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</si>
  <si>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</si>
  <si>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</si>
  <si>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</si>
  <si>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</si>
  <si>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</si>
  <si>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</si>
  <si>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</si>
  <si>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</si>
  <si>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</si>
  <si>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</si>
  <si>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</si>
  <si>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</si>
  <si>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</si>
  <si>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</si>
  <si>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</si>
  <si>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</si>
  <si>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</si>
  <si>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</si>
  <si>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</si>
  <si>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</si>
  <si>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</si>
  <si>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</si>
  <si>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</si>
  <si>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</si>
  <si>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</si>
  <si>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</si>
  <si>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</si>
  <si>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</si>
  <si>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</si>
  <si>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</si>
  <si>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</si>
  <si>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</si>
  <si>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</si>
  <si>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</si>
  <si>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</si>
  <si>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</si>
  <si>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</si>
  <si>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</si>
  <si>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</si>
  <si>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</si>
  <si>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</si>
  <si>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</si>
  <si>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</si>
  <si>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</si>
  <si>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</si>
  <si>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</si>
  <si>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</si>
  <si>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</si>
  <si>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</si>
  <si>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</si>
  <si>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</si>
  <si>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</si>
  <si>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</si>
  <si>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</si>
  <si>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</si>
  <si>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</si>
  <si>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</si>
  <si>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</si>
  <si>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</si>
  <si>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</si>
  <si>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</si>
  <si>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</si>
  <si>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</si>
  <si>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</si>
  <si>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</si>
  <si>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</si>
  <si>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</si>
  <si>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</si>
  <si>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</si>
  <si>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</si>
  <si>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</si>
  <si>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</si>
  <si>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</si>
  <si>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</si>
  <si>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</si>
  <si>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</si>
  <si>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</si>
  <si>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</si>
  <si>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</si>
  <si>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</si>
  <si>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</si>
  <si>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</si>
  <si>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</si>
  <si>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</si>
  <si>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</si>
  <si>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</si>
  <si>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</si>
  <si>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</si>
  <si>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</si>
  <si>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</si>
  <si>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</si>
  <si>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</si>
  <si>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</si>
  <si>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</si>
  <si>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</si>
  <si>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</si>
  <si>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</si>
  <si>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</si>
  <si>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</si>
  <si>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</si>
  <si>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</si>
  <si>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</si>
  <si>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</si>
  <si>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</si>
  <si>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</si>
  <si>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</si>
  <si>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</si>
  <si>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</si>
  <si>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</si>
  <si>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</si>
  <si>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</si>
  <si>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</si>
  <si>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</si>
  <si>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</si>
  <si>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</si>
  <si>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</si>
  <si>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</si>
  <si>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</si>
  <si>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</si>
  <si>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</si>
  <si>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</si>
  <si>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</si>
  <si>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</si>
  <si>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</si>
  <si>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</si>
  <si>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</si>
  <si>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</si>
  <si>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</si>
  <si>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</si>
  <si>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</si>
  <si>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</si>
  <si>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</si>
  <si>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</si>
  <si>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</si>
  <si>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</si>
  <si>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</si>
  <si>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</si>
  <si>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</si>
  <si>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</si>
  <si>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</si>
  <si>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</si>
  <si>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</si>
  <si>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</si>
  <si>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</si>
  <si>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</si>
  <si>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</si>
  <si>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</si>
  <si>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</si>
  <si>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</si>
  <si>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</si>
  <si>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</si>
  <si>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</si>
  <si>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</si>
  <si>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</si>
  <si>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</si>
  <si>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</si>
  <si>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</si>
  <si>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</si>
  <si>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</si>
  <si>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</si>
  <si>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</si>
  <si>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</si>
  <si>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</si>
  <si>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</si>
  <si>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</si>
  <si>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</si>
  <si>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</si>
  <si>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</si>
  <si>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</si>
  <si>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</si>
  <si>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</si>
  <si>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</si>
  <si>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</si>
  <si>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</si>
  <si>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</si>
  <si>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</si>
  <si>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</si>
  <si>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</si>
  <si>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</si>
  <si>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</si>
  <si>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</si>
  <si>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</si>
  <si>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</si>
  <si>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</si>
  <si>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</si>
  <si>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</si>
  <si>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</si>
  <si>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</si>
  <si>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</si>
  <si>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</si>
  <si>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</si>
  <si>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</si>
  <si>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</si>
  <si>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</si>
  <si>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</si>
  <si>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</si>
  <si>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</si>
  <si>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</si>
  <si>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</si>
  <si>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</si>
  <si>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</si>
  <si>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</si>
  <si>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</si>
  <si>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</si>
  <si>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</si>
  <si>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</si>
  <si>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</si>
  <si>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</si>
  <si>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</si>
  <si>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</si>
  <si>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</si>
  <si>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</si>
  <si>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</si>
  <si>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</si>
  <si>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</si>
  <si>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</si>
  <si>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</si>
  <si>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</si>
  <si>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</si>
  <si>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</si>
  <si>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</si>
  <si>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</si>
  <si>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</si>
  <si>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</si>
  <si>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</si>
  <si>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</si>
  <si>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</si>
  <si>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</si>
  <si>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</si>
  <si>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</si>
  <si>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</si>
  <si>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</si>
  <si>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</si>
  <si>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</si>
  <si>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</si>
  <si>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</si>
  <si>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</si>
  <si>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</si>
  <si>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</si>
  <si>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</si>
  <si>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</si>
  <si>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</si>
  <si>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</si>
  <si>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</si>
  <si>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</si>
  <si>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</si>
  <si>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</si>
  <si>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</si>
  <si>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</si>
  <si>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</si>
  <si>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</si>
  <si>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</si>
  <si>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</si>
  <si>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</si>
  <si>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</si>
  <si>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</si>
  <si>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</si>
  <si>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</si>
  <si>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</si>
  <si>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</si>
  <si>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</si>
  <si>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</si>
  <si>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</si>
  <si>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</si>
  <si>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</si>
  <si>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</si>
  <si>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</si>
  <si>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</si>
  <si>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</si>
  <si>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</si>
  <si>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</si>
  <si>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</si>
  <si>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</si>
  <si>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</si>
  <si>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</si>
  <si>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</si>
  <si>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</si>
  <si>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</si>
  <si>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</si>
  <si>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</si>
  <si>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</si>
  <si>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</si>
  <si>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</si>
  <si>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</si>
  <si>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</si>
  <si>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</si>
  <si>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</si>
  <si>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</si>
  <si>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</si>
  <si>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</si>
  <si>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</si>
  <si>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</si>
  <si>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</si>
  <si>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</si>
  <si>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</si>
  <si>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</si>
  <si>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</si>
  <si>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</si>
  <si>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</si>
  <si>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</si>
  <si>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</si>
  <si>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</si>
  <si>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</si>
  <si>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</si>
  <si>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</si>
  <si>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</si>
  <si>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</si>
  <si>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</si>
  <si>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</si>
  <si>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</si>
  <si>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</si>
  <si>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</si>
  <si>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</si>
  <si>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</si>
  <si>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</si>
  <si>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</si>
  <si>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</si>
  <si>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</si>
  <si>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</si>
  <si>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</si>
  <si>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</si>
  <si>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</si>
  <si>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</si>
  <si>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</si>
  <si>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</si>
  <si>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</si>
  <si>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</si>
  <si>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</si>
  <si>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</si>
  <si>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</si>
  <si>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</si>
  <si>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</si>
  <si>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</si>
  <si>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</si>
  <si>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</si>
  <si>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</si>
  <si>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</si>
  <si>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</si>
  <si>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</si>
  <si>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</si>
  <si>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</si>
  <si>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</si>
  <si>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</si>
  <si>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</si>
  <si>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</si>
  <si>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</si>
  <si>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</si>
  <si>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</si>
  <si>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</si>
  <si>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</si>
  <si>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</si>
  <si>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</si>
  <si>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</si>
  <si>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</si>
  <si>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</si>
  <si>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</si>
  <si>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</si>
  <si>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</si>
  <si>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</si>
  <si>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</si>
  <si>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</si>
  <si>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</si>
  <si>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</si>
  <si>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</si>
  <si>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</si>
  <si>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</si>
  <si>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</si>
  <si>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</si>
  <si>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</si>
  <si>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</si>
  <si>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</si>
  <si>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</si>
  <si>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</si>
  <si>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</si>
  <si>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</si>
  <si>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</si>
  <si>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</si>
  <si>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</si>
  <si>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</si>
  <si>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</si>
  <si>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</si>
  <si>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</si>
  <si>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</si>
  <si>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</si>
  <si>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</si>
  <si>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</si>
  <si>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</si>
  <si>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</si>
  <si>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</si>
  <si>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</si>
  <si>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</si>
  <si>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</si>
  <si>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</si>
  <si>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</si>
  <si>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</si>
  <si>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</si>
  <si>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</si>
  <si>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</si>
  <si>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</si>
  <si>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</si>
  <si>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</si>
  <si>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</si>
  <si>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</si>
  <si>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</si>
  <si>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</si>
  <si>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</si>
  <si>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</si>
  <si>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</si>
  <si>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</si>
  <si>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</si>
  <si>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</si>
  <si>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</si>
  <si>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</si>
  <si>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</si>
  <si>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</si>
  <si>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</si>
  <si>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</si>
  <si>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</si>
  <si>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</si>
  <si>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</si>
  <si>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</si>
  <si>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</si>
  <si>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</si>
  <si>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</si>
  <si>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</si>
  <si>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</si>
  <si>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</si>
  <si>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</si>
  <si>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</si>
  <si>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</si>
  <si>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</si>
  <si>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</si>
  <si>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</si>
  <si>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</si>
  <si>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</si>
  <si>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</si>
  <si>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</si>
  <si>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</si>
  <si>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</si>
  <si>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</si>
  <si>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</si>
  <si>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</si>
  <si>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</si>
  <si>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</si>
  <si>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</si>
  <si>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</si>
  <si>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</si>
  <si>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</si>
  <si>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</si>
  <si>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</si>
  <si>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</si>
  <si>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</si>
  <si>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</si>
  <si>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</si>
  <si>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</si>
  <si>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</si>
  <si>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</si>
  <si>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</si>
  <si>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</si>
  <si>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</si>
  <si>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</si>
  <si>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</si>
  <si>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</si>
  <si>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</si>
  <si>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</si>
  <si>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</si>
  <si>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</si>
  <si>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</si>
  <si>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</si>
  <si>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</si>
  <si>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</si>
  <si>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</si>
  <si>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</si>
  <si>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</si>
  <si>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</si>
  <si>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</si>
  <si>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</si>
  <si>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</si>
  <si>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</si>
  <si>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</si>
  <si>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</si>
  <si>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</si>
  <si>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</si>
  <si>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</si>
  <si>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</si>
  <si>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</si>
  <si>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</si>
  <si>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</si>
  <si>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</si>
  <si>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</si>
  <si>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</si>
  <si>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</si>
  <si>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</si>
  <si>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</si>
  <si>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</si>
  <si>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</si>
  <si>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</si>
  <si>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</si>
  <si>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</si>
  <si>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</si>
  <si>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</si>
  <si>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</si>
  <si>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</si>
  <si>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</si>
  <si>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</si>
  <si>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</si>
  <si>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</si>
  <si>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</si>
  <si>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</si>
  <si>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</si>
  <si>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</si>
  <si>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</si>
  <si>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</si>
  <si>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</si>
  <si>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</si>
  <si>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</si>
  <si>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</si>
  <si>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</si>
  <si>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</si>
  <si>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</si>
  <si>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</si>
  <si>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</si>
  <si>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</si>
  <si>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</si>
  <si>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</si>
  <si>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</si>
  <si>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</si>
  <si>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</si>
  <si>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</si>
  <si>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</si>
  <si>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</si>
  <si>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</si>
  <si>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</si>
  <si>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</si>
  <si>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</si>
  <si>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</si>
  <si>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</si>
  <si>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</si>
  <si>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</si>
  <si>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</si>
  <si>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</si>
  <si>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</si>
  <si>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</si>
  <si>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</si>
  <si>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</si>
  <si>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</si>
  <si>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</si>
  <si>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</si>
  <si>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</si>
  <si>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</si>
  <si>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</si>
  <si>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</si>
  <si>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</si>
  <si>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</si>
  <si>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</si>
  <si>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</si>
  <si>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</si>
  <si>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</si>
  <si>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</si>
  <si>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</si>
  <si>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</si>
  <si>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</si>
  <si>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</si>
  <si>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</si>
  <si>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</si>
  <si>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</si>
  <si>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</si>
  <si>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</si>
  <si>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</si>
  <si>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</si>
  <si>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</si>
  <si>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</si>
  <si>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</si>
  <si>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</si>
  <si>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</si>
  <si>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</si>
  <si>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</si>
  <si>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</si>
  <si>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</si>
  <si>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</si>
  <si>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</si>
  <si>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</si>
  <si>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</si>
  <si>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</si>
  <si>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</si>
  <si>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</si>
  <si>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</si>
  <si>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</si>
  <si>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</si>
  <si>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</si>
  <si>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</si>
  <si>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</si>
  <si>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</si>
  <si>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</si>
  <si>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</si>
  <si>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</si>
  <si>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</si>
  <si>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</si>
  <si>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</si>
  <si>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</si>
  <si>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</si>
  <si>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</si>
  <si>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</si>
  <si>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</si>
  <si>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</si>
  <si>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</si>
  <si>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</si>
  <si>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</si>
  <si>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</si>
  <si>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</si>
  <si>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</si>
  <si>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</si>
  <si>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</si>
  <si>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</si>
  <si>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</si>
  <si>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</si>
  <si>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</si>
  <si>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</si>
  <si>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</si>
  <si>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</si>
  <si>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</si>
  <si>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</si>
  <si>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</si>
  <si>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</si>
  <si>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</si>
  <si>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</si>
  <si>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</si>
  <si>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</si>
  <si>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</si>
  <si>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</si>
  <si>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</si>
  <si>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</si>
  <si>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</si>
  <si>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</si>
  <si>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</si>
  <si>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</si>
  <si>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</si>
  <si>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</si>
  <si>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</si>
  <si>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</si>
  <si>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</si>
  <si>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</si>
  <si>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</si>
  <si>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</si>
  <si>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</si>
  <si>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</si>
  <si>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</si>
  <si>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</si>
  <si>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</si>
  <si>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</si>
  <si>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</si>
  <si>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</si>
  <si>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</si>
  <si>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</si>
  <si>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</si>
  <si>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</si>
  <si>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</si>
  <si>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</si>
  <si>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</si>
  <si>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</si>
  <si>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</si>
  <si>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</si>
  <si>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</si>
  <si>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</si>
  <si>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</si>
  <si>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</si>
  <si>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</si>
  <si>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</si>
  <si>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</si>
  <si>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</si>
  <si>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</si>
  <si>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</si>
  <si>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</si>
  <si>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</si>
  <si>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</si>
  <si>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</si>
  <si>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</si>
  <si>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</si>
  <si>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</si>
  <si>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</si>
  <si>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</si>
  <si>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</si>
  <si>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</si>
  <si>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</si>
  <si>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</si>
  <si>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</si>
  <si>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</si>
  <si>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</si>
  <si>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</si>
  <si>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</si>
  <si>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</si>
  <si>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</si>
  <si>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</si>
  <si>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</si>
  <si>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</si>
  <si>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</si>
  <si>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</si>
  <si>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</si>
  <si>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</si>
  <si>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</si>
  <si>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</si>
  <si>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</si>
  <si>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</si>
  <si>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</si>
  <si>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</si>
  <si>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</si>
  <si>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</si>
  <si>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</si>
  <si>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</si>
  <si>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</si>
  <si>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</si>
  <si>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</si>
  <si>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</si>
  <si>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</si>
  <si>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</si>
  <si>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</si>
  <si>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</si>
  <si>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</si>
  <si>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</si>
  <si>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</si>
  <si>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</si>
  <si>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</si>
  <si>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</si>
  <si>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</si>
  <si>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</si>
  <si>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</si>
  <si>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</si>
  <si>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</si>
  <si>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</si>
  <si>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</si>
  <si>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</si>
  <si>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</si>
  <si>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</si>
  <si>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</si>
  <si>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</si>
  <si>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</si>
  <si>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</si>
  <si>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</si>
  <si>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</si>
  <si>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</si>
  <si>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</si>
  <si>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</si>
  <si>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</si>
  <si>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</si>
  <si>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</si>
  <si>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</si>
  <si>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</si>
  <si>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</si>
  <si>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</si>
  <si>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</si>
  <si>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</si>
  <si>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</si>
  <si>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</si>
  <si>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</si>
  <si>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</si>
  <si>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</si>
  <si>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</si>
  <si>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</si>
  <si>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</si>
  <si>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</si>
  <si>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</si>
  <si>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</si>
  <si>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</si>
  <si>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</si>
  <si>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</si>
  <si>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</si>
  <si>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</si>
  <si>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</si>
  <si>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</si>
  <si>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</si>
  <si>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</si>
  <si>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</si>
  <si>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</si>
  <si>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</si>
  <si>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</si>
  <si>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</si>
  <si>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</si>
  <si>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</si>
  <si>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</si>
  <si>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</si>
  <si>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</si>
  <si>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</si>
  <si>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</si>
  <si>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</si>
  <si>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</si>
  <si>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</si>
  <si>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</si>
  <si>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</si>
  <si>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</si>
  <si>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</si>
  <si>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</si>
  <si>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</si>
  <si>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</si>
  <si>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</si>
  <si>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</si>
  <si>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</si>
  <si>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</si>
  <si>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</si>
  <si>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</si>
  <si>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</si>
  <si>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</si>
  <si>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</si>
  <si>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</si>
  <si>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</si>
  <si>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</si>
  <si>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</si>
  <si>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</si>
  <si>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</si>
  <si>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</si>
  <si>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</si>
  <si>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</si>
  <si>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</si>
  <si>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</si>
  <si>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</si>
  <si>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</si>
  <si>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</si>
  <si>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</si>
  <si>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</si>
  <si>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</si>
  <si>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</si>
  <si>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</si>
  <si>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</si>
  <si>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</si>
  <si>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</si>
  <si>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</si>
  <si>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</si>
  <si>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</si>
  <si>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</si>
  <si>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</si>
  <si>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</si>
  <si>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</si>
  <si>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</si>
  <si>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</si>
  <si>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</si>
  <si>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</si>
  <si>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</si>
  <si>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</si>
  <si>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</si>
  <si>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</si>
  <si>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</si>
  <si>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</si>
  <si>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</si>
  <si>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</si>
  <si>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</si>
  <si>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</si>
  <si>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</si>
  <si>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</si>
  <si>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</si>
  <si>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</si>
  <si>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</si>
  <si>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</si>
  <si>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</si>
  <si>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</si>
  <si>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</si>
  <si>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</si>
  <si>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</si>
  <si>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</si>
  <si>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</si>
  <si>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</si>
  <si>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</si>
  <si>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</si>
  <si>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</si>
  <si>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</si>
  <si>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</si>
  <si>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</si>
  <si>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</si>
  <si>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</si>
  <si>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</si>
  <si>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</si>
  <si>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</si>
  <si>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</si>
  <si>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</si>
  <si>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</si>
  <si>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</si>
  <si>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</si>
  <si>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</si>
  <si>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</si>
  <si>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</si>
  <si>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</si>
  <si>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</si>
  <si>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</si>
  <si>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</si>
  <si>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</si>
  <si>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</si>
  <si>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</si>
  <si>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</si>
  <si>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</si>
  <si>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</si>
  <si>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</si>
  <si>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</si>
  <si>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</si>
  <si>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</si>
  <si>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</si>
  <si>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</si>
  <si>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</si>
  <si>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</si>
  <si>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</si>
  <si>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</si>
  <si>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</si>
  <si>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</si>
  <si>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</si>
  <si>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</si>
  <si>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</si>
  <si>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</si>
  <si>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</si>
  <si>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</si>
  <si>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</si>
  <si>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</si>
  <si>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</si>
  <si>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</si>
  <si>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</si>
  <si>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</si>
  <si>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</si>
  <si>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</si>
  <si>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</si>
  <si>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</si>
  <si>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</si>
  <si>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</si>
  <si>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</si>
  <si>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</si>
  <si>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</si>
  <si>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</si>
  <si>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</si>
  <si>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</si>
  <si>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</si>
  <si>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</si>
  <si>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</si>
  <si>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</si>
  <si>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</si>
  <si>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</si>
  <si>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</si>
  <si>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</si>
  <si>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</si>
  <si>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</si>
  <si>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</si>
  <si>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</si>
  <si>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</si>
  <si>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</si>
  <si>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</si>
  <si>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</si>
  <si>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</si>
  <si>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</si>
  <si>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</si>
  <si>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</si>
  <si>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</si>
  <si>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</si>
  <si>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</si>
  <si>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</si>
  <si>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</si>
  <si>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</si>
  <si>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</si>
  <si>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</si>
  <si>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</si>
  <si>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</si>
  <si>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</si>
  <si>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</si>
  <si>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</si>
  <si>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</si>
  <si>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</si>
  <si>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</si>
  <si>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</si>
  <si>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</si>
  <si>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</si>
  <si>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</si>
  <si>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</si>
  <si>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</si>
  <si>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</si>
  <si>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</si>
  <si>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</si>
  <si>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</si>
  <si>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</si>
  <si>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</si>
  <si>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</si>
  <si>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</si>
  <si>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</si>
  <si>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</si>
  <si>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</si>
  <si>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</si>
  <si>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</si>
  <si>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</si>
  <si>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</si>
  <si>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</si>
  <si>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</si>
  <si>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</si>
  <si>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</si>
  <si>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</si>
  <si>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</si>
  <si>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</si>
  <si>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</si>
  <si>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</si>
  <si>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</si>
  <si>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</si>
  <si>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</si>
  <si>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</si>
  <si>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</si>
  <si>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</si>
  <si>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</si>
  <si>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</si>
  <si>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</si>
  <si>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</si>
  <si>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</si>
  <si>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</si>
  <si>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</si>
  <si>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</si>
  <si>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</si>
  <si>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</si>
  <si>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</si>
  <si>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</si>
  <si>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</si>
  <si>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</si>
  <si>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</si>
  <si>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</si>
  <si>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</si>
  <si>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</si>
  <si>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</si>
  <si>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</si>
  <si>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</si>
  <si>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</si>
  <si>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</si>
  <si>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</si>
  <si>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</si>
  <si>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</si>
  <si>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</si>
  <si>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</si>
  <si>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</si>
  <si>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</si>
  <si>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</si>
  <si>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</si>
  <si>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</si>
  <si>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</si>
  <si>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</si>
  <si>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</si>
  <si>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</si>
  <si>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</si>
  <si>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</si>
  <si>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</si>
  <si>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</si>
  <si>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</si>
  <si>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</si>
  <si>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</si>
  <si>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</si>
  <si>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</si>
  <si>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</si>
  <si>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</si>
  <si>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</si>
  <si>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</si>
  <si>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</si>
  <si>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</si>
  <si>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</si>
  <si>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</si>
  <si>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</si>
  <si>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</si>
  <si>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</si>
  <si>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</si>
  <si>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</si>
  <si>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</si>
  <si>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</si>
  <si>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</si>
  <si>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</si>
  <si>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</si>
  <si>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</si>
  <si>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</si>
  <si>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</si>
  <si>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</si>
  <si>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</si>
  <si>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</si>
  <si>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</si>
  <si>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</si>
  <si>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</si>
  <si>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</si>
  <si>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</si>
  <si>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</si>
  <si>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</si>
  <si>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</si>
  <si>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</si>
  <si>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</si>
  <si>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</si>
  <si>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</si>
  <si>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</si>
  <si>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</si>
  <si>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</si>
  <si>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</si>
  <si>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</si>
  <si>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</si>
  <si>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</si>
  <si>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</si>
  <si>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</si>
  <si>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</si>
  <si>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</si>
  <si>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</si>
  <si>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</si>
  <si>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</si>
  <si>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</si>
  <si>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</si>
  <si>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</si>
  <si>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</si>
  <si>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</si>
  <si>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</si>
  <si>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</si>
  <si>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</si>
  <si>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</si>
  <si>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</si>
  <si>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</si>
  <si>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</si>
  <si>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</si>
  <si>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</si>
  <si>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</si>
  <si>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</si>
  <si>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</si>
  <si>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</si>
  <si>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</si>
  <si>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</si>
  <si>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</si>
  <si>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</si>
  <si>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</si>
  <si>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</si>
  <si>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</si>
  <si>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</si>
  <si>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</si>
  <si>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</si>
  <si>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</si>
  <si>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</si>
  <si>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</si>
  <si>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</si>
  <si>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</si>
  <si>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</si>
  <si>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</si>
  <si>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</si>
  <si>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</si>
  <si>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</si>
  <si>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</si>
  <si>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</si>
  <si>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</si>
  <si>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</si>
  <si>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</si>
  <si>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</si>
  <si>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</si>
  <si>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</si>
  <si>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</si>
  <si>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</si>
  <si>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</si>
  <si>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</si>
  <si>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</si>
  <si>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</si>
  <si>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</si>
  <si>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</si>
  <si>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</si>
  <si>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</si>
  <si>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</si>
  <si>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</si>
  <si>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</si>
  <si>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</si>
  <si>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</si>
  <si>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</si>
  <si>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</si>
  <si>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</si>
  <si>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</si>
  <si>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</si>
  <si>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</si>
  <si>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</si>
  <si>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</si>
  <si>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</si>
  <si>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</si>
  <si>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</si>
  <si>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</si>
  <si>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</si>
  <si>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</si>
  <si>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</si>
  <si>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</si>
  <si>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</si>
  <si>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</si>
  <si>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</si>
  <si>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</si>
  <si>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</si>
  <si>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</si>
  <si>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</si>
  <si>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</si>
  <si>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</si>
  <si>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</si>
  <si>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</si>
  <si>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</si>
  <si>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</si>
  <si>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</si>
  <si>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</si>
  <si>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</si>
  <si>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</si>
  <si>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</si>
  <si>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</si>
  <si>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</si>
  <si>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</si>
  <si>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</si>
  <si>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</si>
  <si>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</si>
  <si>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</si>
  <si>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</si>
  <si>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</si>
  <si>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</si>
  <si>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</si>
  <si>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</si>
  <si>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</si>
  <si>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</si>
  <si>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</si>
  <si>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</si>
  <si>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</si>
  <si>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</si>
  <si>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</si>
  <si>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</si>
  <si>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</si>
  <si>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</si>
  <si>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</si>
  <si>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</si>
  <si>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</si>
  <si>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</si>
  <si>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</si>
  <si>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</si>
  <si>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</si>
  <si>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</si>
  <si>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</si>
  <si>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</si>
  <si>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</si>
  <si>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</si>
  <si>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</si>
  <si>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</si>
  <si>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</si>
  <si>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</si>
  <si>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</si>
  <si>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</si>
  <si>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</si>
  <si>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</si>
  <si>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</si>
  <si>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</si>
  <si>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</si>
  <si>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</si>
  <si>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</si>
  <si>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</si>
  <si>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</si>
  <si>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</si>
  <si>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</si>
  <si>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</si>
  <si>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</si>
  <si>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</si>
  <si>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</si>
  <si>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</si>
  <si>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</si>
  <si>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</si>
  <si>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</si>
  <si>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</si>
  <si>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</si>
  <si>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</si>
  <si>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</si>
  <si>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</si>
  <si>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</si>
  <si>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</si>
  <si>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</si>
  <si>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</si>
  <si>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</si>
  <si>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</si>
  <si>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</si>
  <si>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</si>
  <si>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</si>
  <si>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</si>
  <si>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</si>
  <si>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</si>
  <si>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</si>
  <si>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</si>
  <si>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</si>
  <si>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</si>
  <si>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</si>
  <si>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</si>
  <si>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</si>
  <si>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</si>
  <si>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</si>
  <si>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</si>
  <si>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</si>
  <si>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</si>
  <si>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</si>
  <si>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</si>
  <si>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</si>
  <si>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</si>
  <si>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</si>
  <si>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</si>
  <si>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</si>
  <si>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</si>
  <si>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</si>
  <si>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</si>
  <si>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</si>
  <si>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</si>
  <si>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</si>
  <si>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</si>
  <si>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</si>
  <si>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</si>
  <si>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</si>
  <si>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</si>
  <si>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</si>
  <si>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</si>
  <si>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</si>
  <si>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</si>
  <si>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</si>
  <si>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</si>
  <si>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</si>
  <si>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</si>
  <si>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</si>
  <si>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</si>
  <si>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</si>
  <si>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</si>
  <si>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</si>
  <si>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</si>
  <si>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</si>
  <si>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</si>
  <si>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</si>
  <si>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</si>
  <si>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</si>
  <si>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</si>
  <si>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</si>
  <si>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</si>
  <si>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</si>
  <si>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</si>
  <si>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</si>
  <si>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</si>
  <si>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</si>
  <si>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</si>
  <si>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</si>
  <si>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</si>
  <si>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</si>
  <si>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</si>
  <si>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</si>
  <si>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</si>
  <si>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</si>
  <si>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</si>
  <si>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</si>
  <si>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</si>
  <si>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</si>
  <si>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</si>
  <si>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</si>
  <si>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</si>
  <si>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</si>
  <si>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</si>
  <si>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</si>
  <si>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</si>
  <si>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</si>
  <si>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</si>
  <si>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</si>
  <si>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</si>
  <si>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</si>
  <si>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</si>
  <si>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</si>
  <si>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</si>
  <si>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</si>
  <si>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</si>
  <si>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</si>
  <si>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</si>
  <si>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</si>
  <si>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</si>
  <si>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</si>
  <si>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</si>
  <si>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</si>
  <si>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</si>
  <si>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</si>
  <si>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</si>
  <si>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</si>
  <si>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</si>
  <si>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</si>
  <si>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</si>
  <si>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</si>
  <si>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</si>
  <si>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</si>
  <si>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</si>
  <si>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</si>
  <si>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</si>
  <si>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</si>
  <si>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</si>
  <si>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</si>
  <si>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</si>
  <si>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</si>
  <si>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</si>
  <si>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</si>
  <si>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</si>
  <si>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</si>
  <si>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</si>
  <si>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</si>
  <si>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</si>
  <si>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</si>
  <si>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</si>
  <si>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</si>
  <si>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</si>
  <si>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</si>
  <si>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</si>
  <si>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</si>
  <si>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</si>
  <si>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</si>
  <si>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</si>
  <si>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</si>
  <si>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</si>
  <si>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</si>
  <si>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</si>
  <si>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</si>
  <si>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</si>
  <si>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</si>
  <si>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</si>
  <si>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</si>
  <si>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</si>
  <si>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</si>
  <si>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</si>
  <si>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</si>
  <si>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</si>
  <si>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</si>
  <si>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</si>
  <si>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</si>
  <si>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</si>
  <si>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</si>
  <si>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</si>
  <si>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</si>
  <si>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</si>
  <si>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</si>
  <si>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</si>
  <si>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</si>
  <si>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</si>
  <si>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</si>
  <si>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</si>
  <si>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</si>
  <si>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</si>
  <si>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</si>
  <si>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</si>
  <si>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</si>
  <si>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</si>
  <si>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</si>
  <si>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</si>
  <si>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</si>
  <si>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</si>
  <si>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</si>
  <si>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</si>
  <si>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</si>
  <si>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</si>
  <si>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</si>
  <si>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</si>
  <si>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</si>
  <si>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</si>
  <si>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</si>
  <si>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</si>
  <si>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</si>
  <si>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</si>
  <si>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</si>
  <si>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</si>
  <si>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</si>
  <si>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</si>
  <si>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</si>
  <si>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</si>
  <si>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</si>
  <si>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</si>
  <si>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</si>
  <si>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</si>
  <si>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</si>
  <si>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</si>
  <si>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</si>
  <si>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</si>
  <si>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</si>
  <si>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</si>
  <si>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</si>
  <si>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</si>
  <si>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</si>
  <si>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</si>
  <si>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</si>
  <si>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</si>
  <si>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</si>
  <si>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</si>
  <si>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</si>
  <si>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</si>
  <si>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</si>
  <si>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</si>
  <si>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</si>
  <si>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</si>
  <si>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</si>
  <si>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</si>
  <si>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</si>
  <si>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</si>
  <si>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</si>
  <si>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</si>
  <si>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</si>
  <si>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</si>
  <si>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</si>
  <si>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</si>
  <si>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</si>
  <si>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</si>
  <si>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</si>
  <si>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</si>
  <si>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</si>
  <si>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</si>
  <si>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</si>
  <si>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</si>
  <si>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</si>
  <si>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</si>
  <si>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</si>
  <si>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</si>
  <si>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</si>
  <si>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</si>
  <si>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</si>
  <si>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</si>
  <si>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</si>
  <si>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</si>
  <si>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</si>
  <si>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</si>
  <si>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</si>
  <si>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</si>
  <si>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</si>
  <si>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</si>
  <si>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</si>
  <si>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</si>
  <si>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</si>
  <si>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</si>
  <si>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</si>
  <si>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</si>
  <si>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</si>
  <si>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</si>
  <si>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</si>
  <si>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</si>
  <si>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</si>
  <si>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</si>
  <si>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</si>
  <si>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</si>
  <si>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</si>
  <si>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</si>
  <si>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</si>
  <si>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</si>
  <si>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</si>
  <si>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</si>
  <si>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</si>
  <si>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</si>
  <si>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</si>
  <si>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</si>
  <si>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</si>
  <si>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</si>
  <si>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</si>
  <si>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</si>
  <si>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</si>
  <si>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</si>
  <si>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</si>
  <si>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</si>
  <si>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</si>
  <si>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</si>
  <si>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</si>
  <si>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</si>
  <si>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</si>
  <si>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</si>
  <si>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</si>
  <si>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</si>
  <si>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</si>
  <si>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</si>
  <si>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</si>
  <si>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</si>
  <si>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</si>
  <si>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</si>
  <si>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</si>
  <si>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</si>
  <si>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</si>
  <si>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</si>
  <si>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</si>
  <si>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</si>
  <si>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</si>
  <si>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</si>
  <si>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</si>
  <si>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</si>
  <si>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</si>
  <si>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</si>
  <si>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</si>
  <si>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</si>
  <si>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</si>
  <si>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</si>
  <si>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</si>
  <si>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</si>
  <si>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</si>
  <si>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</si>
  <si>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</si>
  <si>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</si>
  <si>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</si>
  <si>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</si>
  <si>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</si>
  <si>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</si>
  <si>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</si>
  <si>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</si>
  <si>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</si>
  <si>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</si>
  <si>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</si>
  <si>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</si>
  <si>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</si>
  <si>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</si>
  <si>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</si>
  <si>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</si>
  <si>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</si>
  <si>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</si>
  <si>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</si>
  <si>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</si>
  <si>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</si>
  <si>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</si>
  <si>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</si>
  <si>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</si>
  <si>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</si>
  <si>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</si>
  <si>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</si>
  <si>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</si>
  <si>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</si>
  <si>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</si>
  <si>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</si>
  <si>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</si>
  <si>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</si>
  <si>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</si>
  <si>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</si>
  <si>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</si>
  <si>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</si>
  <si>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</si>
  <si>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</si>
  <si>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</si>
  <si>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</si>
  <si>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</si>
  <si>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</si>
  <si>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</si>
  <si>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</si>
  <si>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</si>
  <si>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</si>
  <si>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</si>
  <si>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</si>
  <si>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</si>
  <si>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</si>
  <si>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</si>
  <si>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</si>
  <si>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</si>
  <si>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</si>
  <si>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</si>
  <si>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</si>
  <si>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</si>
  <si>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</si>
  <si>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</si>
  <si>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</si>
  <si>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</si>
  <si>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</si>
  <si>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</si>
  <si>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</si>
  <si>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</si>
  <si>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</si>
  <si>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</si>
  <si>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</si>
  <si>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</si>
  <si>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</si>
  <si>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</si>
  <si>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</si>
  <si>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</si>
  <si>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</si>
  <si>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</si>
  <si>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</si>
  <si>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</si>
  <si>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</si>
  <si>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</si>
  <si>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</si>
  <si>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</si>
  <si>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</si>
  <si>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</si>
  <si>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</si>
  <si>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</si>
  <si>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</si>
  <si>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</si>
  <si>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</si>
  <si>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</si>
  <si>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</si>
  <si>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</si>
  <si>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</si>
  <si>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</si>
  <si>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</si>
  <si>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</si>
  <si>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</si>
  <si>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</si>
  <si>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</si>
  <si>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</si>
  <si>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</si>
  <si>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</si>
  <si>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</si>
  <si>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</si>
  <si>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</si>
  <si>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</si>
  <si>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</si>
  <si>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</si>
  <si>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</si>
  <si>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</si>
  <si>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</si>
  <si>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</si>
  <si>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</si>
  <si>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</si>
  <si>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</si>
  <si>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</si>
  <si>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</si>
  <si>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</si>
  <si>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</si>
  <si>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</si>
  <si>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</si>
  <si>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</si>
  <si>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</si>
  <si>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</si>
  <si>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</si>
  <si>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</si>
  <si>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</si>
  <si>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</si>
  <si>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</si>
  <si>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</si>
  <si>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</si>
  <si>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</si>
  <si>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</si>
  <si>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</si>
  <si>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</si>
  <si>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</si>
  <si>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</si>
  <si>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</si>
  <si>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</si>
  <si>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</si>
  <si>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</si>
  <si>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</si>
  <si>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</si>
  <si>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</si>
  <si>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</si>
  <si>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</si>
  <si>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</si>
  <si>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</si>
  <si>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</si>
  <si>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</si>
  <si>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</si>
  <si>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</si>
  <si>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</si>
  <si>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</si>
  <si>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</si>
  <si>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</si>
  <si>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</si>
  <si>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</si>
  <si>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</si>
  <si>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</si>
  <si>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</si>
  <si>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</si>
  <si>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</si>
  <si>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</si>
  <si>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</si>
  <si>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</si>
  <si>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</si>
  <si>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</si>
  <si>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</si>
  <si>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</si>
  <si>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</si>
  <si>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</si>
  <si>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</si>
  <si>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</si>
  <si>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</si>
  <si>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</si>
  <si>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</si>
  <si>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</si>
  <si>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</si>
  <si>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</si>
  <si>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</si>
  <si>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</si>
  <si>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</si>
  <si>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</si>
  <si>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</si>
  <si>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</si>
  <si>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</si>
  <si>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</si>
  <si>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</si>
  <si>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</si>
  <si>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</si>
  <si>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</si>
  <si>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</si>
  <si>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</si>
  <si>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</si>
  <si>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</si>
  <si>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</si>
  <si>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</si>
  <si>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</si>
  <si>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</si>
  <si>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</si>
  <si>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</si>
  <si>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</si>
  <si>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</si>
  <si>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</si>
  <si>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</si>
  <si>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</si>
  <si>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</si>
  <si>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</si>
  <si>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</si>
  <si>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</si>
  <si>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</si>
  <si>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</si>
  <si>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</si>
  <si>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</si>
  <si>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</si>
  <si>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</si>
  <si>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</si>
  <si>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</si>
  <si>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</si>
  <si>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</si>
  <si>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</si>
  <si>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</si>
  <si>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</si>
  <si>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</si>
  <si>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</si>
  <si>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</si>
  <si>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</si>
  <si>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</si>
  <si>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</si>
  <si>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</si>
  <si>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</si>
  <si>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</si>
  <si>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</si>
  <si>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</si>
  <si>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</si>
  <si>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</si>
  <si>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</si>
  <si>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</si>
  <si>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</si>
  <si>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</si>
  <si>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</si>
  <si>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</si>
  <si>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</si>
  <si>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</si>
  <si>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</si>
  <si>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</si>
  <si>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</si>
  <si>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</si>
  <si>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</si>
  <si>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</si>
  <si>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</si>
  <si>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</si>
  <si>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</si>
  <si>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</si>
  <si>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</si>
  <si>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</si>
  <si>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</si>
  <si>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</si>
  <si>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</si>
  <si>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</si>
  <si>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</si>
  <si>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</si>
  <si>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</si>
  <si>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</si>
  <si>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</si>
  <si>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</si>
  <si>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</si>
  <si>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</si>
  <si>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</si>
  <si>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</si>
  <si>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</si>
  <si>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</si>
  <si>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</si>
  <si>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</si>
  <si>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</si>
  <si>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</si>
  <si>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</si>
  <si>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</si>
  <si>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</si>
  <si>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</si>
  <si>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</si>
  <si>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</si>
  <si>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</si>
  <si>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</si>
  <si>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</si>
  <si>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</si>
  <si>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</si>
  <si>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</si>
  <si>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</si>
  <si>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</si>
  <si>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</si>
  <si>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</si>
  <si>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</si>
  <si>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</si>
  <si>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</si>
  <si>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</si>
  <si>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</si>
  <si>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</si>
  <si>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</si>
  <si>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</si>
  <si>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</si>
  <si>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</si>
  <si>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</si>
  <si>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</si>
  <si>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</si>
  <si>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</si>
  <si>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</si>
  <si>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</si>
  <si>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</si>
  <si>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</si>
  <si>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</si>
  <si>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</si>
  <si>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</si>
  <si>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</si>
  <si>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</si>
  <si>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</si>
  <si>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</si>
  <si>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</si>
  <si>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</si>
  <si>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</si>
  <si>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</si>
  <si>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</si>
  <si>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</si>
  <si>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</si>
  <si>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</si>
  <si>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</si>
  <si>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</si>
  <si>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</si>
  <si>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</si>
  <si>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</si>
  <si>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</si>
  <si>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</si>
  <si>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</si>
  <si>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</si>
  <si>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</si>
  <si>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</si>
  <si>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</si>
  <si>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</si>
  <si>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</si>
  <si>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</si>
  <si>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</si>
  <si>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</si>
  <si>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</si>
  <si>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</si>
  <si>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</si>
  <si>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</si>
  <si>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</si>
  <si>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</si>
  <si>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</si>
  <si>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</si>
  <si>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</si>
  <si>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</si>
  <si>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</si>
  <si>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</si>
  <si>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</si>
  <si>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</si>
  <si>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</si>
  <si>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</si>
  <si>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</si>
  <si>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</si>
  <si>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</si>
  <si>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</si>
  <si>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</si>
  <si>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</si>
  <si>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</si>
  <si>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</si>
  <si>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</si>
  <si>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</si>
  <si>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</si>
  <si>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</si>
  <si>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</si>
  <si>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</si>
  <si>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</si>
  <si>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</si>
  <si>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</si>
  <si>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</si>
  <si>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</si>
  <si>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</si>
  <si>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</si>
  <si>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</si>
  <si>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</si>
  <si>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</si>
  <si>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</si>
  <si>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</si>
  <si>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</si>
  <si>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</si>
  <si>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</si>
  <si>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</si>
  <si>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</si>
  <si>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</si>
  <si>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</si>
  <si>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</si>
  <si>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</si>
  <si>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</si>
  <si>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</si>
  <si>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</si>
  <si>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</si>
  <si>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</si>
  <si>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</si>
  <si>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</si>
  <si>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</si>
  <si>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</si>
  <si>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</si>
  <si>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</si>
  <si>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</si>
  <si>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</si>
  <si>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</si>
  <si>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</si>
  <si>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</si>
  <si>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</si>
  <si>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</si>
  <si>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</si>
  <si>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</si>
  <si>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</si>
  <si>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</si>
  <si>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</si>
  <si>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</si>
  <si>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</si>
  <si>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</si>
  <si>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</si>
  <si>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</si>
  <si>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</si>
  <si>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</si>
  <si>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</si>
  <si>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</si>
  <si>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</si>
  <si>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</si>
  <si>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</si>
  <si>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</si>
  <si>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</si>
  <si>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</si>
  <si>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</si>
  <si>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</si>
  <si>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</si>
  <si>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</si>
  <si>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</si>
  <si>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</si>
  <si>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</si>
  <si>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</si>
  <si>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</si>
  <si>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</si>
  <si>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</si>
  <si>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</si>
  <si>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</si>
  <si>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</si>
  <si>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</si>
  <si>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</si>
  <si>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</si>
  <si>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</si>
  <si>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</si>
  <si>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</si>
  <si>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</si>
  <si>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</si>
  <si>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</si>
  <si>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</si>
  <si>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</si>
  <si>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</si>
  <si>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</si>
  <si>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</si>
  <si>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</si>
  <si>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</si>
  <si>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</si>
  <si>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</si>
  <si>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</si>
  <si>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</si>
  <si>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</si>
  <si>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</si>
  <si>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</si>
  <si>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</si>
  <si>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</si>
  <si>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</si>
  <si>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</si>
  <si>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</si>
  <si>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</si>
  <si>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</si>
  <si>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</si>
  <si>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</si>
  <si>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</si>
  <si>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</si>
  <si>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</si>
  <si>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</si>
  <si>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</si>
  <si>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</si>
  <si>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</si>
  <si>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</si>
  <si>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</si>
  <si>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</si>
  <si>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</si>
  <si>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</si>
  <si>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</si>
  <si>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</si>
  <si>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</si>
  <si>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</si>
  <si>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</si>
  <si>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</si>
  <si>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</si>
  <si>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</si>
  <si>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</si>
  <si>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</si>
  <si>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</si>
  <si>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</si>
  <si>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</si>
  <si>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</si>
  <si>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</si>
  <si>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</si>
  <si>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</si>
  <si>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</si>
  <si>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</si>
  <si>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</si>
  <si>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</si>
  <si>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</si>
  <si>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</si>
  <si>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</si>
  <si>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</si>
  <si>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</si>
  <si>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</si>
  <si>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</si>
  <si>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</si>
  <si>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</si>
  <si>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</si>
  <si>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</si>
  <si>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</si>
  <si>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</si>
  <si>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</si>
  <si>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</si>
  <si>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</si>
  <si>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</si>
  <si>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</si>
  <si>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</si>
  <si>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</si>
  <si>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</si>
  <si>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</si>
  <si>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</si>
  <si>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</si>
  <si>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</si>
  <si>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</si>
  <si>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</si>
  <si>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</si>
  <si>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</si>
  <si>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</si>
  <si>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</si>
  <si>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</si>
  <si>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</si>
  <si>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</si>
  <si>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</si>
  <si>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</si>
  <si>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</si>
  <si>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</si>
  <si>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</si>
  <si>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</si>
  <si>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</si>
  <si>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</si>
  <si>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</si>
  <si>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</si>
  <si>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</si>
  <si>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</si>
  <si>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</si>
  <si>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</si>
  <si>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</si>
  <si>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</si>
  <si>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</si>
  <si>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</si>
  <si>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</si>
  <si>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</si>
  <si>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</si>
  <si>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</si>
  <si>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</si>
  <si>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</si>
  <si>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</si>
  <si>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</si>
  <si>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</si>
  <si>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</si>
  <si>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</si>
  <si>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</si>
  <si>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</si>
  <si>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</si>
  <si>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</si>
  <si>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</si>
  <si>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</si>
  <si>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</si>
  <si>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</si>
  <si>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</si>
  <si>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</si>
  <si>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</si>
  <si>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</si>
  <si>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</si>
  <si>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</si>
  <si>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</si>
  <si>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</si>
  <si>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</si>
  <si>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</si>
  <si>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</si>
  <si>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</si>
  <si>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</si>
  <si>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</si>
  <si>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</si>
  <si>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</si>
  <si>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</si>
  <si>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</si>
  <si>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</si>
  <si>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</si>
  <si>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</si>
  <si>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</si>
  <si>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</si>
  <si>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</si>
  <si>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</si>
  <si>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</si>
  <si>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</si>
  <si>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</si>
  <si>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</si>
  <si>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</si>
  <si>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</si>
  <si>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</si>
  <si>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</si>
  <si>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</si>
  <si>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</si>
  <si>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</si>
  <si>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</si>
  <si>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</si>
  <si>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</si>
  <si>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</si>
  <si>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</si>
  <si>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</si>
  <si>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</si>
  <si>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</si>
  <si>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</si>
  <si>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</si>
  <si>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</si>
  <si>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</si>
  <si>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</si>
  <si>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</si>
  <si>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</si>
  <si>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</si>
  <si>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</si>
  <si>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</si>
  <si>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</si>
  <si>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</si>
  <si>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</si>
  <si>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</si>
  <si>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</si>
  <si>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</si>
  <si>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</si>
  <si>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</si>
  <si>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</si>
  <si>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</si>
  <si>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</si>
  <si>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</si>
  <si>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</si>
  <si>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</si>
  <si>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</si>
  <si>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</si>
  <si>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</si>
  <si>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</si>
  <si>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</si>
  <si>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</si>
  <si>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</si>
  <si>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</si>
  <si>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</si>
  <si>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</si>
  <si>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</si>
  <si>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</si>
  <si>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</si>
  <si>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</si>
  <si>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</si>
  <si>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</si>
  <si>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</si>
  <si>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</si>
  <si>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</si>
  <si>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</si>
  <si>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</si>
  <si>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</si>
  <si>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</si>
  <si>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</si>
  <si>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</si>
  <si>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</si>
  <si>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</si>
  <si>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</si>
  <si>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</si>
  <si>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</si>
  <si>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</si>
  <si>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</si>
  <si>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</si>
  <si>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</si>
  <si>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</si>
  <si>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</si>
  <si>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</si>
  <si>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</si>
  <si>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</si>
  <si>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</si>
  <si>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</si>
  <si>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</si>
  <si>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</si>
  <si>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</si>
  <si>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</si>
  <si>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</si>
  <si>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</si>
  <si>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</si>
  <si>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</si>
  <si>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</si>
  <si>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</si>
  <si>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</si>
  <si>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</si>
  <si>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</si>
  <si>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</si>
  <si>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</si>
  <si>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</si>
  <si>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</si>
  <si>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</si>
  <si>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</si>
  <si>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</si>
  <si>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</si>
  <si>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</si>
  <si>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</si>
  <si>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</si>
  <si>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</si>
  <si>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</si>
  <si>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</si>
  <si>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</si>
  <si>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</si>
  <si>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</si>
  <si>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</si>
  <si>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</si>
  <si>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</si>
  <si>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</si>
  <si>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</si>
  <si>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</si>
  <si>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</si>
  <si>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</si>
  <si>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</si>
  <si>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</si>
  <si>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</si>
  <si>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</si>
  <si>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</si>
  <si>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</si>
  <si>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</si>
  <si>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</si>
  <si>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</si>
  <si>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</si>
  <si>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</si>
  <si>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</si>
  <si>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</si>
  <si>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</si>
  <si>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</si>
  <si>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</si>
  <si>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</si>
  <si>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</si>
  <si>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</si>
  <si>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</si>
  <si>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</si>
  <si>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</si>
  <si>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</si>
  <si>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</si>
  <si>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</si>
  <si>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</si>
  <si>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</si>
  <si>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</si>
  <si>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</si>
  <si>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</si>
  <si>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</si>
  <si>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</si>
  <si>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</si>
  <si>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</si>
  <si>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</si>
  <si>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</si>
  <si>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</si>
  <si>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</si>
  <si>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</si>
  <si>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</si>
  <si>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</si>
  <si>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</si>
  <si>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</si>
  <si>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</si>
  <si>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</si>
  <si>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</si>
  <si>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</si>
  <si>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</si>
  <si>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</si>
  <si>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</si>
  <si>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</si>
  <si>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</si>
  <si>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</si>
  <si>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</si>
  <si>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</si>
  <si>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</si>
  <si>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</si>
  <si>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</si>
  <si>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</si>
  <si>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</si>
  <si>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</si>
  <si>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</si>
  <si>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</si>
  <si>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</si>
  <si>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</si>
  <si>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</si>
  <si>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</si>
  <si>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</si>
  <si>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</si>
  <si>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</si>
  <si>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</si>
  <si>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</si>
  <si>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</si>
  <si>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</si>
  <si>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</si>
  <si>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</si>
  <si>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</si>
  <si>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</si>
  <si>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</si>
  <si>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</si>
  <si>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</si>
  <si>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</si>
  <si>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</si>
  <si>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</si>
  <si>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</si>
  <si>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</si>
  <si>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</si>
  <si>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</si>
  <si>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</si>
  <si>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</si>
  <si>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</si>
  <si>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</si>
  <si>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</si>
  <si>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</si>
  <si>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</si>
  <si>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</si>
  <si>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</si>
  <si>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</si>
  <si>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</si>
  <si>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</si>
  <si>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</si>
  <si>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</si>
  <si>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</si>
  <si>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</si>
  <si>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</si>
  <si>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</si>
  <si>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</si>
  <si>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</si>
  <si>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</si>
  <si>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</si>
  <si>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</si>
  <si>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</si>
  <si>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</si>
  <si>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</si>
  <si>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</si>
  <si>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</si>
  <si>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</si>
  <si>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</si>
  <si>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</si>
  <si>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</si>
  <si>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</si>
  <si>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</si>
  <si>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</si>
  <si>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</si>
  <si>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</si>
  <si>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</si>
  <si>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</si>
  <si>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</si>
  <si>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</si>
  <si>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</si>
  <si>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</si>
  <si>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</si>
  <si>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</si>
  <si>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</si>
  <si>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</si>
  <si>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</si>
  <si>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</si>
  <si>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</si>
  <si>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</si>
  <si>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</si>
  <si>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</si>
  <si>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</si>
  <si>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</si>
  <si>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</si>
  <si>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</si>
  <si>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</si>
  <si>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</si>
  <si>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</si>
  <si>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</si>
  <si>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</si>
  <si>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</si>
  <si>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</si>
  <si>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</si>
  <si>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</si>
  <si>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</si>
  <si>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</si>
  <si>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</si>
  <si>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</si>
  <si>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</si>
  <si>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</si>
  <si>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</si>
  <si>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</si>
  <si>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</si>
  <si>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</si>
  <si>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</si>
  <si>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</si>
  <si>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</si>
  <si>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</si>
  <si>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</si>
  <si>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</si>
  <si>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</si>
  <si>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</si>
  <si>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</si>
  <si>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</si>
  <si>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</si>
  <si>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</si>
  <si>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</si>
  <si>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</si>
  <si>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</si>
  <si>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</si>
  <si>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</si>
  <si>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</si>
  <si>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</si>
  <si>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</si>
  <si>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</si>
  <si>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</si>
  <si>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</si>
  <si>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</si>
  <si>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</si>
  <si>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</si>
  <si>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</si>
  <si>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</si>
  <si>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</si>
  <si>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</si>
  <si>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</si>
  <si>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</si>
  <si>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</si>
  <si>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</si>
  <si>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</si>
  <si>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</si>
  <si>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</si>
  <si>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</si>
  <si>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</si>
  <si>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</si>
  <si>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</si>
  <si>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</si>
  <si>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</si>
  <si>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</si>
  <si>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</si>
  <si>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</si>
  <si>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</si>
  <si>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</si>
  <si>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</si>
  <si>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</si>
  <si>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</si>
  <si>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</si>
  <si>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</si>
  <si>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</si>
  <si>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</si>
  <si>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</si>
  <si>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</si>
  <si>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</si>
  <si>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</si>
  <si>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</si>
  <si>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</si>
  <si>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</si>
  <si>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</si>
  <si>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</si>
  <si>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</si>
  <si>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</si>
  <si>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</si>
  <si>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</si>
  <si>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</si>
  <si>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</si>
  <si>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</si>
  <si>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</si>
  <si>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</si>
  <si>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</si>
  <si>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</si>
  <si>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</si>
  <si>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</si>
  <si>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</si>
  <si>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</si>
  <si>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</si>
  <si>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</si>
  <si>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</si>
  <si>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</si>
  <si>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</si>
  <si>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</si>
  <si>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</si>
  <si>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</si>
  <si>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</si>
  <si>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</si>
  <si>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</si>
  <si>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</si>
  <si>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</si>
  <si>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</si>
  <si>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</si>
  <si>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</si>
  <si>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</si>
  <si>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</si>
  <si>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</si>
  <si>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</si>
  <si>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</si>
  <si>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</si>
  <si>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</si>
  <si>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</si>
  <si>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</si>
  <si>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</si>
  <si>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</si>
  <si>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</si>
  <si>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</si>
  <si>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</si>
  <si>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</si>
  <si>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</si>
  <si>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</si>
  <si>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</si>
  <si>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</si>
  <si>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</si>
  <si>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</si>
  <si>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</si>
  <si>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</si>
  <si>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</si>
  <si>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</si>
  <si>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</si>
  <si>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</si>
  <si>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</si>
  <si>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</si>
  <si>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</si>
  <si>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</si>
  <si>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</si>
  <si>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</si>
  <si>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</si>
  <si>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</si>
  <si>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</si>
  <si>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</si>
  <si>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</si>
  <si>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</si>
  <si>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</si>
  <si>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</si>
  <si>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</si>
  <si>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</si>
  <si>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</si>
  <si>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</si>
  <si>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</si>
  <si>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</si>
  <si>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</si>
  <si>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</si>
  <si>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</si>
  <si>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</si>
  <si>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</si>
  <si>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</si>
  <si>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</si>
  <si>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</si>
  <si>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</si>
  <si>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</si>
  <si>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</si>
  <si>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</si>
  <si>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</si>
  <si>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</si>
  <si>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</si>
  <si>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</si>
  <si>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</si>
  <si>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</si>
  <si>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</si>
  <si>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</si>
  <si>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</si>
  <si>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</si>
  <si>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</si>
  <si>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</si>
  <si>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</si>
  <si>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</si>
  <si>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</si>
  <si>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</si>
  <si>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</si>
  <si>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</si>
  <si>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</si>
  <si>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</si>
  <si>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</si>
  <si>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</si>
  <si>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</si>
  <si>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</si>
  <si>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</si>
  <si>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</si>
  <si>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</si>
  <si>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</si>
  <si>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</si>
  <si>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</si>
  <si>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</si>
  <si>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</si>
  <si>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</si>
  <si>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</si>
  <si>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</si>
  <si>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</si>
  <si>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</si>
  <si>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</si>
  <si>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</si>
  <si>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</si>
  <si>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</si>
  <si>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</si>
  <si>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</si>
  <si>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</si>
  <si>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</si>
  <si>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</si>
  <si>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</si>
  <si>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</si>
  <si>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</si>
  <si>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</si>
  <si>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</si>
  <si>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</si>
  <si>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</si>
  <si>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</si>
  <si>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</si>
  <si>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</si>
  <si>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</si>
  <si>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</si>
  <si>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</si>
  <si>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</si>
  <si>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</si>
  <si>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</si>
  <si>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</si>
  <si>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</si>
  <si>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</si>
  <si>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</si>
  <si>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</si>
  <si>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</si>
  <si>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</si>
  <si>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</si>
  <si>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</si>
  <si>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</si>
  <si>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</si>
  <si>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</si>
  <si>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</si>
  <si>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</si>
  <si>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</si>
  <si>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</si>
  <si>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</si>
  <si>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</si>
  <si>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</si>
  <si>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</si>
  <si>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</si>
  <si>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</si>
  <si>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</si>
  <si>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</si>
  <si>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</si>
  <si>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</si>
  <si>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</si>
  <si>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</si>
  <si>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</si>
  <si>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</si>
  <si>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</si>
  <si>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</si>
  <si>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</si>
  <si>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</si>
  <si>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</si>
  <si>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</si>
  <si>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</si>
  <si>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</si>
  <si>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</si>
  <si>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</si>
  <si>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</si>
  <si>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</si>
  <si>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</si>
  <si>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</si>
  <si>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</si>
  <si>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</si>
  <si>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</si>
  <si>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</si>
  <si>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</si>
  <si>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</si>
  <si>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</si>
  <si>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</si>
  <si>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</si>
  <si>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</si>
  <si>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</si>
  <si>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</si>
  <si>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</si>
  <si>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</si>
  <si>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</si>
  <si>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</si>
  <si>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</si>
  <si>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</si>
  <si>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</si>
  <si>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</si>
  <si>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</si>
  <si>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</si>
  <si>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</si>
  <si>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</si>
  <si>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</si>
  <si>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</si>
  <si>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</si>
  <si>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</si>
  <si>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</si>
  <si>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</si>
  <si>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</si>
  <si>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</si>
  <si>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</si>
  <si>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</si>
  <si>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</si>
  <si>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</si>
  <si>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</si>
  <si>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</si>
  <si>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</si>
  <si>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</si>
  <si>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</si>
  <si>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</si>
  <si>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</si>
  <si>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</si>
  <si>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</si>
  <si>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</si>
  <si>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</si>
  <si>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</si>
  <si>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</si>
  <si>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</si>
  <si>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</si>
  <si>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</si>
  <si>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</si>
  <si>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</si>
  <si>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</si>
  <si>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</si>
  <si>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</si>
  <si>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</si>
  <si>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</si>
  <si>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</si>
  <si>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</si>
  <si>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</si>
  <si>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</si>
  <si>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</si>
  <si>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</si>
  <si>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</si>
  <si>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</si>
  <si>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</si>
  <si>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</si>
  <si>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</si>
  <si>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</si>
  <si>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</si>
  <si>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</si>
  <si>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</si>
  <si>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</si>
  <si>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</si>
  <si>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</si>
  <si>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</si>
  <si>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</si>
  <si>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</si>
  <si>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</si>
  <si>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</si>
  <si>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</si>
  <si>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</si>
  <si>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</si>
  <si>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</si>
  <si>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</si>
  <si>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</si>
  <si>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</si>
  <si>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</si>
  <si>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</si>
  <si>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</si>
  <si>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</si>
  <si>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</si>
  <si>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</si>
  <si>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</si>
  <si>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</si>
  <si>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</si>
  <si>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</si>
  <si>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</si>
  <si>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</si>
  <si>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</si>
  <si>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</si>
  <si>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</si>
  <si>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</si>
  <si>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</si>
  <si>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</si>
  <si>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</si>
  <si>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</si>
  <si>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</si>
  <si>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</si>
  <si>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</si>
  <si>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</si>
  <si>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</si>
  <si>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</si>
  <si>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</si>
  <si>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</si>
  <si>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</si>
  <si>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</si>
  <si>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</si>
  <si>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</si>
  <si>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</si>
  <si>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</si>
  <si>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</si>
  <si>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</si>
  <si>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</si>
  <si>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</si>
  <si>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</si>
  <si>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</si>
  <si>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</si>
  <si>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</si>
  <si>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</si>
  <si>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</si>
  <si>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</si>
  <si>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</si>
  <si>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</si>
  <si>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</si>
  <si>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</si>
  <si>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</si>
  <si>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</si>
  <si>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</si>
  <si>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</si>
  <si>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</si>
  <si>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</si>
  <si>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</si>
  <si>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</si>
  <si>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</si>
  <si>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</si>
  <si>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</si>
  <si>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</si>
  <si>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</si>
  <si>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</si>
  <si>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</si>
  <si>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</si>
  <si>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</si>
  <si>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</si>
  <si>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</si>
  <si>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</si>
  <si>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</si>
  <si>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</si>
  <si>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</si>
  <si>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</si>
  <si>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</si>
  <si>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</si>
  <si>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</si>
  <si>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</si>
  <si>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</si>
  <si>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</si>
  <si>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</si>
  <si>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</si>
  <si>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</si>
  <si>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</si>
  <si>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</si>
  <si>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</si>
  <si>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</si>
  <si>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</si>
  <si>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</si>
  <si>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</si>
  <si>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</si>
  <si>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</si>
  <si>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</si>
  <si>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</si>
  <si>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</si>
  <si>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</si>
  <si>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</si>
  <si>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</si>
  <si>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</si>
  <si>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</si>
  <si>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</si>
  <si>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</si>
  <si>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</si>
  <si>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</si>
  <si>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</si>
  <si>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</si>
  <si>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</si>
  <si>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</si>
  <si>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</si>
  <si>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</si>
  <si>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</si>
  <si>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</si>
  <si>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</si>
  <si>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</si>
  <si>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</si>
  <si>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</si>
  <si>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</si>
  <si>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</si>
  <si>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</si>
  <si>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</si>
  <si>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</si>
  <si>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</si>
  <si>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</si>
  <si>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</si>
  <si>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</si>
  <si>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</si>
  <si>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</si>
  <si>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</si>
  <si>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</si>
  <si>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</si>
  <si>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</si>
  <si>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</si>
  <si>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</si>
  <si>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</si>
  <si>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</si>
  <si>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</si>
  <si>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</si>
  <si>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</si>
  <si>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</si>
  <si>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</si>
  <si>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</si>
  <si>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</si>
  <si>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</si>
  <si>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</si>
  <si>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</si>
  <si>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</si>
  <si>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</si>
  <si>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</si>
  <si>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</si>
  <si>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</si>
  <si>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</si>
  <si>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</si>
  <si>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</si>
  <si>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</si>
  <si>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</si>
  <si>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</si>
  <si>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</si>
  <si>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</si>
  <si>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</si>
  <si>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</si>
  <si>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</si>
  <si>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</si>
  <si>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</si>
  <si>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</si>
  <si>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</si>
  <si>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</si>
  <si>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</si>
  <si>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</si>
  <si>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</si>
  <si>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</si>
  <si>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</si>
  <si>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</si>
  <si>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</si>
  <si>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</si>
  <si>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</si>
  <si>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</si>
  <si>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</si>
  <si>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</si>
  <si>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</si>
  <si>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</si>
  <si>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</si>
  <si>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</si>
  <si>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</si>
  <si>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</si>
  <si>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</si>
  <si>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</si>
  <si>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</si>
  <si>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</si>
  <si>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</si>
  <si>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</si>
  <si>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</si>
  <si>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</si>
  <si>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</si>
  <si>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</si>
  <si>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</si>
  <si>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</si>
  <si>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</si>
  <si>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</si>
  <si>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</si>
  <si>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</si>
  <si>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</si>
  <si>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</si>
  <si>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</si>
  <si>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</si>
  <si>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</si>
  <si>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</si>
  <si>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</si>
  <si>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</si>
  <si>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</si>
  <si>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</si>
  <si>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</si>
  <si>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</si>
  <si>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</si>
  <si>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</si>
  <si>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</si>
  <si>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</si>
  <si>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</si>
  <si>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</si>
  <si>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</si>
  <si>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</si>
  <si>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</si>
  <si>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</si>
  <si>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</si>
  <si>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</si>
  <si>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</si>
  <si>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</si>
  <si>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</si>
  <si>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</si>
  <si>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</si>
  <si>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</si>
  <si>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</si>
  <si>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</si>
  <si>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</si>
  <si>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</si>
  <si>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</si>
  <si>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</si>
  <si>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</si>
  <si>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</si>
  <si>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</si>
  <si>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</si>
  <si>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</si>
  <si>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</si>
  <si>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</si>
  <si>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</si>
  <si>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</si>
  <si>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</si>
  <si>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</si>
  <si>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</si>
  <si>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</si>
  <si>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</si>
  <si>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</si>
  <si>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</si>
  <si>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</si>
  <si>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</si>
  <si>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</si>
  <si>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</si>
  <si>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</si>
  <si>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</si>
  <si>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</si>
  <si>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</si>
  <si>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</si>
  <si>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</si>
  <si>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</si>
  <si>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</si>
  <si>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</si>
  <si>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</si>
  <si>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</si>
  <si>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</si>
  <si>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</si>
  <si>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</si>
  <si>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</si>
  <si>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</si>
  <si>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</si>
  <si>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</si>
  <si>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</si>
  <si>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</si>
  <si>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</si>
  <si>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</si>
  <si>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</si>
  <si>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</si>
  <si>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</si>
  <si>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</si>
  <si>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</si>
  <si>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</si>
  <si>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</si>
  <si>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</si>
  <si>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</si>
  <si>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</si>
  <si>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</si>
  <si>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</si>
  <si>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</si>
  <si>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</si>
  <si>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</si>
  <si>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</si>
  <si>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</si>
  <si>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</si>
  <si>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</si>
  <si>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</si>
  <si>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</si>
  <si>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</si>
  <si>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</si>
  <si>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</si>
  <si>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</si>
  <si>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</si>
  <si>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</si>
  <si>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</si>
  <si>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</si>
  <si>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</si>
  <si>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</si>
  <si>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</si>
  <si>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</si>
  <si>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</si>
  <si>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</si>
  <si>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</si>
  <si>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</si>
  <si>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</si>
  <si>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</si>
  <si>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</si>
  <si>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</si>
  <si>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</si>
  <si>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</si>
  <si>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</si>
  <si>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</si>
  <si>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</si>
  <si>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</si>
  <si>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</si>
  <si>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</si>
  <si>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</si>
  <si>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</si>
  <si>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</si>
  <si>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</si>
  <si>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</si>
  <si>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</si>
  <si>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</si>
  <si>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</si>
  <si>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</si>
  <si>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</si>
  <si>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</si>
  <si>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</si>
  <si>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</si>
  <si>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</si>
  <si>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</si>
  <si>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</si>
  <si>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</si>
  <si>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</si>
  <si>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</si>
  <si>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</si>
  <si>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</si>
  <si>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</si>
  <si>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</si>
  <si>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</si>
  <si>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</si>
  <si>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</si>
  <si>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</si>
  <si>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</si>
  <si>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</si>
  <si>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</si>
  <si>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</si>
  <si>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</si>
  <si>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</si>
  <si>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</si>
  <si>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</si>
  <si>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</si>
  <si>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</si>
  <si>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</si>
  <si>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</si>
  <si>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</si>
  <si>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</si>
  <si>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</si>
  <si>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</si>
  <si>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</si>
  <si>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</si>
  <si>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</si>
  <si>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</si>
  <si>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</si>
  <si>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</si>
  <si>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</si>
  <si>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</si>
  <si>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</si>
  <si>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</si>
  <si>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</si>
  <si>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</si>
  <si>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</si>
  <si>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</si>
  <si>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</si>
  <si>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</si>
  <si>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</si>
  <si>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</si>
  <si>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</si>
  <si>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</si>
  <si>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</si>
  <si>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</si>
  <si>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</si>
  <si>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</si>
  <si>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</si>
  <si>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</si>
  <si>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</si>
  <si>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</si>
  <si>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</si>
  <si>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</si>
  <si>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</si>
  <si>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</si>
  <si>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</si>
  <si>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</si>
  <si>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</si>
  <si>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</si>
  <si>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</si>
  <si>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</si>
  <si>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</si>
  <si>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</si>
  <si>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</si>
  <si>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</si>
  <si>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</si>
  <si>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</si>
  <si>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</si>
  <si>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</si>
  <si>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</si>
  <si>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</si>
  <si>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</si>
  <si>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</si>
  <si>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</si>
  <si>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</si>
  <si>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</si>
  <si>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</si>
  <si>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</si>
  <si>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</si>
  <si>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</si>
  <si>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</si>
  <si>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</si>
  <si>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</si>
  <si>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</si>
  <si>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</si>
  <si>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</si>
  <si>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</si>
  <si>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</si>
  <si>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</si>
  <si>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</si>
  <si>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</si>
  <si>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</si>
  <si>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</si>
  <si>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</si>
  <si>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</si>
  <si>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</si>
  <si>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</si>
  <si>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</si>
  <si>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</si>
  <si>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</si>
  <si>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</si>
  <si>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</si>
  <si>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</si>
  <si>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</si>
  <si>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</si>
  <si>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</si>
  <si>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</si>
  <si>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</si>
  <si>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</si>
  <si>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</si>
  <si>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</si>
  <si>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</si>
  <si>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</si>
  <si>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</si>
  <si>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</si>
  <si>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</si>
  <si>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</si>
  <si>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</si>
  <si>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</si>
  <si>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</si>
  <si>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</si>
  <si>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</si>
  <si>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</si>
  <si>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</si>
  <si>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</si>
  <si>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</si>
  <si>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</si>
  <si>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</si>
  <si>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</si>
  <si>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</si>
  <si>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</si>
  <si>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</si>
  <si>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</si>
  <si>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</si>
  <si>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</si>
  <si>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</si>
  <si>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</si>
  <si>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</si>
  <si>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</si>
  <si>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</si>
  <si>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</si>
  <si>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</si>
  <si>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</si>
  <si>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</si>
  <si>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</si>
  <si>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</si>
  <si>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</si>
  <si>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</si>
  <si>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</si>
  <si>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</si>
  <si>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</si>
  <si>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</si>
  <si>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</si>
  <si>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</si>
  <si>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</si>
  <si>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</si>
  <si>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</si>
  <si>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</si>
  <si>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</si>
  <si>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</si>
  <si>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</si>
  <si>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</si>
  <si>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</si>
  <si>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</si>
  <si>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</si>
  <si>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</si>
  <si>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</si>
  <si>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</si>
  <si>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</si>
  <si>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</si>
  <si>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</si>
  <si>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</si>
  <si>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</si>
  <si>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</si>
  <si>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</si>
  <si>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</si>
  <si>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</si>
  <si>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</si>
  <si>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</si>
  <si>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</si>
  <si>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</si>
  <si>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</si>
  <si>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</si>
  <si>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</si>
  <si>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</si>
  <si>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</si>
  <si>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</si>
  <si>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</si>
  <si>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</si>
  <si>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</si>
  <si>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</si>
  <si>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</si>
  <si>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</si>
  <si>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</si>
  <si>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</si>
  <si>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</si>
  <si>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</si>
  <si>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</si>
  <si>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</si>
  <si>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</si>
  <si>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</si>
  <si>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</si>
  <si>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</si>
  <si>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</si>
  <si>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</si>
  <si>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</si>
  <si>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</si>
  <si>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</si>
  <si>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</si>
  <si>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</si>
  <si>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</si>
  <si>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</si>
  <si>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</si>
  <si>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</si>
  <si>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</si>
  <si>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</si>
  <si>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</si>
  <si>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</si>
  <si>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</si>
  <si>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</si>
  <si>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</si>
  <si>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</si>
  <si>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</si>
  <si>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</si>
  <si>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</si>
  <si>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</si>
  <si>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</si>
  <si>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</si>
  <si>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</si>
  <si>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</si>
  <si>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</si>
  <si>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</si>
  <si>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</si>
  <si>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</si>
  <si>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</si>
  <si>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</si>
  <si>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</si>
  <si>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</si>
  <si>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</si>
  <si>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</si>
  <si>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</si>
  <si>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</si>
  <si>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</si>
  <si>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</si>
  <si>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</si>
  <si>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</si>
  <si>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</si>
  <si>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</si>
  <si>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</si>
  <si>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</si>
  <si>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</si>
  <si>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</si>
  <si>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</si>
  <si>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</si>
  <si>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</si>
  <si>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</si>
  <si>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</si>
  <si>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</si>
  <si>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</si>
  <si>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</si>
  <si>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</si>
  <si>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</si>
  <si>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</si>
  <si>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</si>
  <si>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</si>
  <si>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</si>
  <si>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</si>
  <si>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</si>
  <si>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</si>
  <si>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</si>
  <si>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</si>
  <si>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</si>
  <si>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</si>
  <si>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</si>
  <si>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</si>
  <si>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</si>
  <si>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</si>
  <si>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</si>
  <si>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</si>
  <si>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</si>
  <si>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</si>
  <si>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</si>
  <si>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</si>
  <si>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</si>
  <si>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</si>
  <si>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</si>
  <si>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</si>
  <si>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</si>
  <si>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</si>
  <si>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</si>
  <si>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</si>
  <si>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</si>
  <si>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</si>
  <si>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</si>
  <si>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</si>
  <si>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</si>
  <si>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</si>
  <si>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</si>
  <si>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</si>
  <si>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</si>
  <si>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</si>
  <si>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</si>
  <si>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</si>
  <si>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</si>
  <si>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</si>
  <si>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</si>
  <si>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</si>
  <si>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</si>
  <si>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</si>
  <si>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</si>
  <si>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</si>
  <si>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</si>
  <si>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</si>
  <si>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</si>
  <si>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</si>
  <si>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</si>
  <si>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</si>
  <si>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</si>
  <si>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</si>
  <si>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</si>
  <si>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</si>
  <si>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</si>
  <si>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</si>
  <si>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</si>
  <si>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</si>
  <si>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</si>
  <si>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</si>
  <si>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</si>
  <si>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</si>
  <si>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</si>
  <si>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</si>
  <si>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</si>
  <si>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</si>
  <si>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</si>
  <si>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</si>
  <si>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</si>
  <si>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</si>
  <si>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</si>
  <si>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</si>
  <si>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</si>
  <si>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</si>
  <si>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</si>
  <si>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</si>
  <si>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</si>
  <si>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</si>
  <si>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</si>
  <si>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</si>
  <si>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</si>
  <si>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</si>
  <si>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</si>
  <si>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</si>
  <si>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</si>
  <si>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</si>
  <si>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</si>
  <si>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</si>
  <si>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</si>
  <si>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</si>
  <si>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</si>
  <si>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</si>
  <si>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</si>
  <si>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</si>
  <si>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</si>
  <si>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</si>
  <si>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</si>
  <si>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</si>
  <si>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</si>
  <si>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</si>
  <si>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</si>
  <si>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</si>
  <si>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</si>
  <si>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</si>
  <si>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</si>
  <si>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</si>
  <si>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</si>
  <si>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</si>
  <si>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</si>
  <si>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</si>
  <si>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</si>
  <si>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</si>
  <si>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</si>
  <si>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</si>
  <si>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</si>
  <si>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</si>
  <si>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</si>
  <si>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</si>
  <si>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</si>
  <si>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</si>
  <si>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</si>
  <si>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</si>
  <si>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</si>
  <si>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</si>
  <si>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</si>
  <si>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</si>
  <si>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</si>
  <si>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</si>
  <si>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</si>
  <si>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</si>
  <si>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</si>
  <si>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</si>
  <si>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</si>
  <si>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</si>
  <si>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</si>
  <si>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</si>
  <si>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</si>
  <si>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</si>
  <si>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</si>
  <si>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</si>
  <si>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</si>
  <si>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</si>
  <si>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</si>
  <si>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</si>
  <si>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</si>
  <si>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</si>
  <si>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</si>
  <si>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</si>
  <si>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</si>
  <si>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</si>
  <si>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</si>
  <si>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</si>
  <si>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</si>
  <si>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</si>
  <si>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</si>
  <si>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</si>
  <si>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</si>
  <si>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</si>
  <si>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</si>
  <si>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</si>
  <si>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</si>
  <si>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</si>
  <si>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</si>
  <si>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</si>
  <si>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</si>
  <si>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</si>
  <si>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</si>
  <si>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</si>
  <si>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</si>
  <si>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</si>
  <si>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</si>
  <si>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</si>
  <si>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</si>
  <si>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</si>
  <si>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</si>
  <si>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</si>
  <si>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</si>
  <si>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</si>
  <si>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</si>
  <si>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</si>
  <si>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</si>
  <si>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</si>
  <si>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</si>
  <si>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</si>
  <si>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</si>
  <si>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</si>
  <si>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</si>
  <si>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</si>
  <si>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</si>
  <si>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</si>
  <si>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</si>
  <si>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</si>
  <si>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</si>
  <si>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</si>
  <si>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</si>
  <si>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</si>
  <si>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</si>
  <si>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</si>
  <si>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</si>
  <si>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</si>
  <si>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</si>
  <si>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</si>
  <si>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</si>
  <si>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</si>
  <si>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</si>
  <si>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</si>
  <si>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</si>
  <si>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</si>
  <si>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</si>
  <si>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</si>
  <si>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</si>
  <si>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</si>
  <si>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</si>
  <si>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</si>
  <si>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</si>
  <si>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</si>
  <si>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</si>
  <si>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</si>
  <si>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</si>
  <si>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</si>
  <si>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</si>
  <si>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</si>
  <si>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</si>
  <si>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</si>
  <si>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</si>
  <si>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</si>
  <si>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</si>
  <si>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</si>
  <si>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</si>
  <si>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</si>
  <si>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</si>
  <si>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</si>
  <si>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</si>
  <si>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</si>
  <si>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</si>
  <si>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</si>
  <si>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</si>
  <si>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</si>
  <si>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</si>
  <si>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</si>
  <si>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</si>
  <si>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</si>
  <si>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</si>
  <si>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</si>
  <si>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</si>
  <si>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</si>
  <si>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</si>
  <si>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</si>
  <si>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</si>
  <si>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</si>
  <si>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</si>
  <si>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</si>
  <si>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</si>
  <si>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</si>
  <si>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</si>
  <si>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</si>
  <si>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</si>
  <si>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</si>
  <si>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</si>
  <si>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</si>
  <si>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</si>
  <si>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</si>
  <si>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</si>
  <si>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</si>
  <si>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</si>
  <si>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</si>
  <si>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</si>
  <si>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</si>
  <si>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</si>
  <si>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</si>
  <si>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</si>
  <si>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</si>
  <si>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</si>
  <si>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</si>
  <si>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</si>
  <si>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</si>
  <si>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</si>
  <si>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</si>
  <si>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</si>
  <si>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</si>
  <si>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</si>
  <si>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</si>
  <si>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</si>
  <si>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</si>
  <si>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</si>
  <si>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</si>
  <si>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</si>
  <si>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</si>
  <si>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</si>
  <si>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</si>
  <si>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</si>
  <si>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</si>
  <si>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</si>
  <si>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</si>
  <si>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</si>
  <si>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</si>
  <si>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</si>
  <si>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</si>
  <si>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</si>
  <si>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</si>
  <si>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</si>
  <si>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</si>
  <si>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</si>
  <si>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</si>
  <si>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</si>
  <si>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</si>
  <si>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</si>
  <si>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</si>
  <si>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</si>
  <si>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</si>
  <si>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</si>
  <si>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</si>
  <si>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</si>
  <si>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</si>
  <si>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</si>
  <si>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</si>
  <si>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</si>
  <si>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</si>
  <si>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</si>
  <si>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</si>
  <si>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</si>
  <si>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</si>
  <si>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</si>
  <si>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</si>
  <si>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</si>
  <si>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</si>
  <si>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</si>
  <si>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</si>
  <si>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</si>
  <si>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</si>
  <si>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</si>
  <si>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</si>
  <si>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</si>
  <si>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</si>
  <si>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</si>
  <si>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</si>
  <si>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</si>
  <si>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</si>
  <si>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</si>
  <si>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</si>
  <si>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</si>
  <si>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</si>
  <si>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</si>
  <si>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</si>
  <si>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</si>
  <si>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</si>
  <si>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</si>
  <si>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</si>
  <si>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</si>
  <si>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</si>
  <si>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</si>
  <si>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</si>
  <si>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</si>
  <si>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</si>
  <si>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</si>
  <si>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</si>
  <si>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</si>
  <si>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</si>
  <si>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</si>
  <si>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</si>
  <si>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</si>
  <si>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</si>
  <si>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</si>
  <si>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</si>
  <si>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</si>
  <si>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</si>
  <si>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</si>
  <si>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</si>
  <si>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</si>
  <si>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</si>
  <si>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</si>
  <si>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</si>
  <si>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</si>
  <si>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</si>
  <si>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</si>
  <si>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</si>
  <si>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</si>
  <si>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</si>
  <si>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</si>
  <si>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</si>
  <si>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</si>
  <si>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</si>
  <si>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</si>
  <si>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</si>
  <si>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</si>
  <si>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</si>
  <si>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</si>
  <si>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</si>
  <si>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</si>
  <si>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</si>
  <si>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</si>
  <si>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</si>
  <si>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</si>
  <si>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</si>
  <si>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</si>
  <si>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</si>
  <si>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</si>
  <si>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</si>
  <si>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</si>
  <si>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</si>
  <si>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</si>
  <si>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</si>
  <si>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</si>
  <si>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</si>
  <si>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</si>
  <si>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</si>
  <si>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</si>
  <si>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</si>
  <si>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</si>
  <si>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</si>
  <si>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</si>
  <si>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</si>
  <si>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</si>
  <si>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</si>
  <si>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</si>
  <si>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</si>
  <si>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</si>
  <si>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</si>
  <si>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</si>
  <si>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</si>
  <si>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</si>
  <si>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</si>
  <si>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</si>
  <si>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</si>
  <si>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</si>
  <si>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</si>
  <si>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</si>
  <si>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</si>
  <si>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</si>
  <si>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</si>
  <si>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</si>
  <si>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</si>
  <si>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</si>
  <si>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</si>
  <si>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</si>
  <si>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</si>
  <si>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</si>
  <si>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</si>
  <si>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</si>
  <si>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</si>
  <si>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</si>
  <si>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</si>
  <si>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</si>
  <si>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</si>
  <si>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</si>
  <si>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</si>
  <si>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</si>
  <si>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</si>
  <si>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</si>
  <si>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</si>
  <si>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</si>
  <si>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</si>
  <si>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</si>
  <si>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</si>
  <si>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</si>
  <si>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</si>
  <si>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</si>
  <si>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</si>
  <si>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</si>
  <si>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</si>
  <si>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</si>
  <si>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</si>
  <si>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</si>
  <si>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</si>
  <si>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</si>
  <si>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</si>
  <si>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</si>
  <si>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</si>
  <si>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</si>
  <si>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</si>
  <si>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</si>
  <si>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</si>
  <si>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</si>
  <si>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</si>
  <si>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</si>
  <si>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</si>
  <si>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</si>
  <si>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</si>
  <si>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</si>
  <si>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</si>
  <si>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</si>
  <si>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</si>
  <si>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</si>
  <si>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</si>
  <si>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</si>
  <si>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</si>
  <si>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</si>
  <si>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</si>
  <si>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</si>
  <si>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</si>
  <si>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</si>
  <si>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</si>
  <si>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</si>
  <si>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</si>
  <si>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</si>
  <si>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</si>
  <si>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</si>
  <si>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</si>
  <si>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</si>
  <si>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</si>
  <si>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</si>
  <si>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</si>
  <si>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</si>
  <si>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</si>
  <si>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</si>
  <si>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</si>
  <si>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</si>
  <si>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</si>
  <si>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</si>
  <si>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</si>
  <si>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</si>
  <si>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</si>
  <si>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</si>
  <si>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</si>
  <si>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</si>
  <si>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</si>
  <si>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</si>
  <si>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</si>
  <si>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</si>
  <si>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</si>
  <si>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</si>
  <si>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</si>
  <si>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</si>
  <si>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</si>
  <si>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</si>
  <si>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</si>
  <si>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</si>
  <si>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</si>
  <si>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</si>
  <si>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</si>
  <si>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</si>
  <si>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</si>
  <si>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</si>
  <si>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</si>
  <si>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</si>
  <si>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</si>
  <si>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</si>
  <si>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</si>
  <si>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</si>
  <si>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</si>
  <si>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</si>
  <si>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</si>
  <si>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</si>
  <si>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</si>
  <si>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</si>
  <si>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</si>
  <si>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</si>
  <si>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</si>
  <si>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</si>
  <si>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</si>
  <si>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</si>
  <si>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</si>
  <si>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</si>
  <si>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</si>
  <si>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</si>
  <si>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</si>
  <si>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</si>
  <si>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</si>
  <si>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</si>
  <si>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</si>
  <si>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</si>
  <si>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</si>
  <si>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</si>
  <si>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</si>
  <si>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</si>
  <si>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</si>
  <si>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</si>
  <si>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</si>
  <si>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</si>
  <si>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</si>
  <si>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</si>
  <si>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</si>
  <si>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</si>
  <si>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</si>
  <si>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</si>
  <si>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</si>
  <si>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</si>
  <si>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</si>
  <si>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</si>
  <si>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</si>
  <si>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</si>
  <si>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</si>
  <si>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</si>
  <si>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</si>
  <si>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</si>
  <si>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</si>
  <si>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</si>
  <si>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</si>
  <si>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</si>
  <si>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</si>
  <si>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</si>
  <si>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</si>
  <si>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</si>
  <si>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</si>
  <si>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</si>
  <si>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</si>
  <si>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</si>
  <si>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</si>
  <si>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</si>
  <si>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</si>
  <si>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</si>
  <si>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</si>
  <si>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</si>
  <si>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</si>
  <si>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</si>
  <si>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</si>
  <si>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</si>
  <si>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</si>
  <si>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</si>
  <si>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</si>
  <si>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</si>
  <si>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</si>
  <si>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</si>
  <si>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</si>
  <si>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</si>
  <si>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</si>
  <si>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</si>
  <si>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</si>
  <si>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</si>
  <si>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</si>
  <si>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</si>
  <si>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</si>
  <si>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</si>
  <si>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</si>
  <si>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</si>
  <si>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</si>
  <si>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</si>
  <si>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</si>
  <si>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</si>
  <si>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</si>
  <si>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</si>
  <si>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</si>
  <si>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</si>
  <si>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</si>
  <si>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</si>
  <si>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</si>
  <si>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</si>
  <si>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</si>
  <si>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</si>
  <si>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</si>
  <si>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</si>
  <si>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</si>
  <si>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</si>
  <si>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</si>
  <si>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</si>
  <si>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</si>
  <si>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</si>
  <si>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</si>
  <si>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</si>
  <si>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</si>
  <si>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</si>
  <si>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</si>
  <si>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</si>
  <si>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</si>
  <si>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</si>
  <si>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</si>
  <si>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</si>
  <si>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</si>
  <si>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</si>
  <si>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</si>
  <si>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</si>
  <si>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</si>
  <si>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</si>
  <si>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</si>
  <si>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</si>
  <si>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</si>
  <si>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</si>
  <si>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</si>
  <si>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</si>
  <si>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</si>
  <si>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</si>
  <si>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</si>
  <si>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</si>
  <si>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</si>
  <si>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</si>
  <si>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</si>
  <si>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</si>
  <si>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</si>
  <si>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</si>
  <si>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</si>
  <si>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</si>
  <si>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</si>
  <si>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</si>
  <si>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</si>
  <si>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</si>
  <si>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</si>
  <si>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</si>
  <si>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</si>
  <si>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</si>
  <si>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</si>
  <si>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</si>
  <si>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</si>
  <si>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</si>
  <si>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</si>
  <si>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</si>
  <si>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</si>
  <si>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</si>
  <si>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</si>
  <si>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</si>
  <si>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</si>
  <si>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</si>
  <si>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</si>
  <si>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</si>
  <si>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</si>
  <si>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</si>
  <si>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</si>
  <si>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</si>
  <si>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</si>
  <si>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</si>
  <si>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</si>
  <si>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</si>
  <si>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</si>
  <si>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</si>
  <si>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</si>
  <si>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</si>
  <si>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</si>
  <si>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</si>
  <si>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</si>
  <si>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</si>
  <si>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</si>
  <si>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</si>
  <si>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</si>
  <si>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</si>
  <si>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</si>
  <si>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</si>
  <si>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</si>
  <si>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</si>
  <si>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</si>
  <si>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</si>
  <si>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</si>
  <si>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</si>
  <si>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</si>
  <si>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</si>
  <si>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</si>
  <si>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</si>
  <si>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</si>
  <si>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</si>
  <si>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</si>
  <si>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</si>
  <si>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</si>
  <si>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</si>
  <si>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</si>
  <si>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</si>
  <si>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</si>
  <si>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</si>
  <si>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</si>
  <si>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</si>
  <si>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</si>
  <si>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</si>
  <si>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</si>
  <si>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</si>
  <si>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</si>
  <si>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</si>
  <si>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</si>
  <si>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</si>
  <si>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</si>
  <si>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</si>
  <si>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</si>
  <si>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</si>
  <si>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</si>
  <si>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</si>
  <si>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</si>
  <si>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</si>
  <si>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</si>
  <si>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</si>
  <si>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</si>
  <si>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</si>
  <si>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</si>
  <si>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</si>
  <si>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</si>
  <si>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</si>
  <si>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</si>
  <si>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</si>
  <si>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</si>
  <si>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</si>
  <si>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</si>
  <si>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</si>
  <si>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</si>
  <si>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</si>
  <si>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</si>
  <si>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</si>
  <si>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</si>
  <si>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</si>
  <si>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</si>
  <si>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</si>
  <si>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</si>
  <si>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</si>
  <si>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</si>
  <si>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</si>
  <si>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</si>
  <si>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</si>
  <si>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</si>
  <si>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</si>
  <si>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</si>
  <si>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</si>
  <si>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</si>
  <si>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</si>
  <si>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</si>
  <si>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</si>
  <si>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</si>
  <si>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</si>
  <si>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</si>
  <si>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</si>
  <si>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</si>
  <si>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</si>
  <si>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</si>
  <si>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</si>
  <si>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</si>
  <si>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</si>
  <si>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</si>
  <si>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</si>
  <si>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</si>
  <si>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</si>
  <si>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</si>
  <si>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</si>
  <si>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</si>
  <si>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</si>
  <si>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</si>
  <si>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</si>
  <si>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</si>
  <si>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</si>
  <si>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</si>
  <si>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</si>
  <si>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</si>
  <si>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</si>
  <si>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</si>
  <si>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</si>
  <si>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</si>
  <si>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</si>
  <si>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</si>
  <si>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</si>
  <si>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</si>
  <si>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</si>
  <si>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</si>
  <si>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</si>
  <si>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</si>
  <si>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</si>
  <si>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</si>
  <si>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</si>
  <si>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</si>
  <si>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</si>
  <si>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</si>
  <si>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</si>
  <si>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</si>
  <si>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</si>
  <si>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</si>
  <si>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</si>
  <si>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</si>
  <si>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</si>
  <si>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</si>
  <si>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</si>
  <si>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</si>
  <si>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</si>
  <si>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</si>
  <si>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</si>
  <si>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</si>
  <si>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</si>
  <si>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</si>
  <si>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</si>
  <si>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</si>
  <si>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</si>
  <si>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</si>
  <si>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</si>
  <si>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</si>
  <si>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</si>
  <si>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</si>
  <si>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</si>
  <si>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</si>
  <si>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</si>
  <si>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</si>
  <si>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</si>
  <si>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</si>
  <si>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</si>
  <si>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</si>
  <si>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</si>
  <si>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</si>
  <si>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</si>
  <si>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</si>
  <si>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</si>
  <si>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</si>
  <si>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</si>
  <si>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</si>
  <si>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</si>
  <si>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</si>
  <si>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</si>
  <si>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</si>
  <si>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</si>
  <si>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</si>
  <si>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</si>
  <si>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</si>
  <si>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</si>
  <si>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</si>
  <si>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</si>
  <si>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</si>
  <si>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</si>
  <si>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</si>
  <si>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</si>
  <si>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</si>
  <si>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</si>
  <si>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</si>
  <si>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</si>
  <si>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</si>
  <si>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</si>
  <si>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</si>
  <si>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</si>
  <si>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</si>
  <si>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</si>
  <si>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</si>
  <si>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</si>
  <si>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</si>
  <si>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</si>
  <si>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</si>
  <si>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</si>
  <si>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</si>
  <si>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</si>
  <si>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</si>
  <si>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</si>
  <si>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</si>
  <si>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</si>
  <si>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</si>
  <si>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</si>
  <si>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</si>
  <si>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</si>
  <si>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</si>
  <si>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</si>
  <si>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</si>
  <si>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</si>
  <si>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</si>
  <si>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</si>
  <si>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</si>
  <si>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</si>
  <si>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</si>
  <si>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</si>
  <si>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</si>
  <si>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</si>
  <si>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</si>
  <si>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</si>
  <si>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</si>
  <si>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</si>
  <si>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</si>
  <si>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</si>
  <si>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</si>
  <si>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</si>
  <si>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</si>
  <si>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</si>
  <si>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</si>
  <si>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</si>
  <si>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</si>
  <si>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</si>
  <si>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</si>
  <si>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</si>
  <si>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</si>
  <si>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</si>
  <si>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</si>
  <si>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</si>
  <si>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</si>
  <si>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</si>
  <si>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</si>
  <si>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</si>
  <si>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</si>
  <si>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</si>
  <si>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</si>
  <si>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</si>
  <si>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</si>
  <si>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</si>
  <si>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</si>
  <si>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</si>
  <si>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</si>
  <si>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</si>
  <si>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</si>
  <si>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</si>
  <si>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</si>
  <si>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</si>
  <si>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</si>
  <si>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</si>
  <si>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</si>
  <si>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</si>
  <si>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</si>
  <si>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</si>
  <si>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</si>
  <si>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</si>
  <si>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</si>
  <si>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</si>
  <si>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</si>
  <si>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</si>
  <si>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</si>
  <si>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</si>
  <si>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</si>
  <si>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</si>
  <si>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</si>
  <si>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</si>
  <si>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</si>
  <si>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</si>
  <si>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</si>
  <si>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</si>
  <si>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</si>
  <si>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</si>
  <si>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</si>
  <si>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</si>
  <si>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</si>
  <si>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</si>
  <si>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</si>
  <si>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</si>
  <si>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</si>
  <si>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</si>
  <si>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</si>
  <si>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</si>
  <si>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</si>
  <si>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</si>
  <si>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</si>
  <si>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</si>
  <si>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</si>
  <si>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</si>
  <si>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</si>
  <si>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</si>
  <si>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</si>
  <si>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</si>
  <si>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</si>
  <si>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</si>
  <si>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</si>
  <si>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</si>
  <si>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</si>
  <si>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</si>
  <si>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</si>
  <si>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</si>
  <si>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</si>
  <si>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</si>
  <si>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</si>
  <si>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</si>
  <si>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</si>
  <si>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</si>
  <si>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</si>
  <si>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</si>
  <si>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</si>
  <si>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</si>
  <si>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</si>
  <si>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</si>
  <si>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</si>
  <si>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</si>
  <si>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</si>
  <si>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</si>
  <si>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</si>
  <si>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</si>
  <si>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</si>
  <si>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</si>
  <si>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</si>
  <si>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</si>
  <si>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</si>
  <si>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</si>
  <si>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</si>
  <si>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</si>
  <si>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</si>
  <si>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</si>
  <si>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</si>
  <si>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</si>
  <si>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</si>
  <si>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</si>
  <si>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</si>
  <si>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</si>
  <si>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</si>
  <si>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</si>
  <si>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</si>
  <si>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</si>
  <si>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</si>
  <si>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</si>
  <si>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</si>
  <si>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</si>
  <si>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</si>
  <si>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</si>
  <si>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</si>
  <si>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</si>
  <si>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</si>
  <si>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</si>
  <si>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</si>
  <si>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</si>
  <si>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</si>
  <si>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</si>
  <si>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</si>
  <si>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</si>
  <si>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</si>
  <si>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</si>
  <si>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</si>
  <si>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</si>
  <si>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</si>
  <si>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</si>
  <si>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</si>
  <si>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</si>
  <si>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</si>
  <si>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</si>
  <si>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</si>
  <si>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</si>
  <si>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</si>
  <si>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</si>
  <si>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</si>
  <si>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</si>
  <si>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</si>
  <si>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</si>
  <si>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</si>
  <si>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</si>
  <si>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</si>
  <si>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</si>
  <si>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</si>
  <si>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</si>
  <si>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</si>
  <si>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</si>
  <si>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</si>
  <si>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</si>
  <si>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</si>
  <si>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</si>
  <si>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</si>
  <si>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</si>
  <si>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</si>
  <si>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</si>
  <si>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</si>
  <si>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</si>
  <si>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</si>
  <si>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</si>
  <si>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</si>
  <si>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</si>
  <si>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</si>
  <si>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</si>
  <si>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</si>
  <si>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</si>
  <si>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</si>
  <si>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</si>
  <si>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</si>
  <si>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</si>
  <si>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</si>
  <si>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</si>
  <si>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</si>
  <si>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</si>
  <si>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</si>
  <si>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</si>
  <si>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</si>
  <si>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</si>
  <si>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</si>
  <si>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</si>
  <si>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</si>
  <si>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</si>
  <si>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</si>
  <si>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</si>
  <si>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</si>
  <si>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</si>
  <si>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</si>
  <si>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</si>
  <si>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</si>
  <si>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</si>
  <si>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</si>
  <si>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</si>
  <si>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</si>
  <si>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</si>
  <si>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</si>
  <si>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</si>
  <si>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</si>
  <si>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</si>
  <si>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</si>
  <si>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</si>
  <si>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</si>
  <si>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</si>
  <si>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</si>
  <si>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</si>
  <si>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</si>
  <si>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</si>
  <si>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</si>
  <si>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</si>
  <si>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</si>
  <si>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</si>
  <si>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</si>
  <si>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</si>
  <si>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</si>
  <si>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</si>
  <si>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</si>
  <si>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</si>
  <si>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</si>
  <si>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</si>
  <si>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</si>
  <si>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</si>
  <si>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</si>
  <si>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</si>
  <si>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</si>
  <si>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</si>
  <si>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</si>
  <si>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</si>
  <si>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</si>
  <si>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</si>
  <si>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</si>
  <si>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</si>
  <si>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</si>
  <si>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</si>
  <si>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</si>
  <si>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</si>
  <si>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</si>
  <si>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</si>
  <si>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</si>
  <si>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</si>
  <si>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</si>
  <si>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</si>
  <si>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</si>
  <si>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</si>
  <si>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</si>
  <si>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</si>
  <si>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</si>
  <si>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</si>
  <si>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</si>
  <si>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</si>
  <si>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</si>
  <si>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</si>
  <si>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</si>
  <si>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</si>
  <si>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</si>
  <si>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</si>
  <si>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</si>
  <si>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</si>
  <si>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</si>
  <si>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</si>
  <si>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</si>
  <si>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</si>
  <si>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</si>
  <si>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</si>
  <si>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</si>
  <si>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</si>
  <si>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</si>
  <si>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</si>
  <si>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</si>
  <si>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</si>
  <si>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</si>
  <si>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</si>
  <si>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</si>
  <si>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</si>
  <si>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</si>
  <si>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</si>
  <si>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</si>
  <si>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</si>
  <si>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</si>
  <si>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</si>
  <si>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</si>
  <si>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</si>
  <si>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</si>
  <si>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</si>
  <si>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</si>
  <si>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</si>
  <si>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</si>
  <si>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</si>
  <si>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</si>
  <si>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</si>
  <si>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</si>
  <si>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</si>
  <si>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</si>
  <si>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</si>
  <si>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</si>
  <si>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</si>
  <si>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</si>
  <si>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</si>
  <si>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</si>
  <si>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</si>
  <si>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</si>
  <si>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</si>
  <si>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</si>
  <si>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</si>
  <si>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</si>
  <si>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</si>
  <si>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</si>
  <si>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</si>
  <si>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</si>
  <si>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</si>
  <si>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</si>
  <si>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</si>
  <si>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</si>
  <si>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</si>
  <si>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</si>
  <si>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</si>
  <si>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</si>
  <si>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</si>
  <si>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</si>
  <si>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</si>
  <si>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</si>
  <si>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</si>
  <si>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</si>
  <si>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</si>
  <si>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</si>
  <si>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</si>
  <si>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</si>
  <si>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</si>
  <si>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</si>
  <si>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</si>
  <si>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</si>
  <si>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</si>
  <si>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</si>
  <si>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</si>
  <si>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</si>
  <si>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</si>
  <si>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</si>
  <si>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</si>
  <si>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</si>
  <si>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</si>
  <si>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</si>
  <si>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</si>
  <si>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</si>
  <si>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</si>
  <si>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</si>
  <si>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</si>
  <si>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</si>
  <si>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</si>
  <si>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</si>
  <si>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</si>
  <si>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</si>
  <si>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</si>
  <si>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</si>
  <si>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</si>
  <si>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</si>
  <si>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</si>
  <si>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</si>
  <si>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</si>
  <si>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</si>
  <si>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</si>
  <si>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</si>
  <si>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</si>
  <si>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</si>
  <si>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</si>
  <si>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</si>
  <si>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</si>
  <si>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</si>
  <si>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</si>
  <si>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</si>
  <si>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</si>
  <si>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</si>
  <si>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</si>
  <si>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</si>
  <si>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</si>
  <si>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</si>
  <si>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</si>
  <si>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</si>
  <si>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</si>
  <si>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</si>
  <si>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</si>
  <si>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</si>
  <si>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</si>
  <si>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</si>
  <si>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</si>
  <si>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</si>
  <si>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</si>
  <si>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</si>
  <si>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</si>
  <si>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</si>
  <si>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</si>
  <si>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</si>
  <si>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</si>
  <si>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</si>
  <si>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</si>
  <si>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</si>
  <si>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</si>
  <si>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</si>
  <si>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</si>
  <si>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</si>
  <si>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</si>
  <si>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</si>
  <si>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</si>
  <si>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</si>
  <si>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</si>
  <si>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</si>
  <si>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</si>
  <si>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</si>
  <si>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</si>
  <si>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</si>
  <si>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</si>
  <si>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</si>
  <si>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</si>
  <si>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</si>
  <si>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</si>
  <si>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</si>
  <si>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</si>
  <si>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</si>
  <si>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</si>
  <si>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</si>
  <si>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</si>
  <si>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</si>
  <si>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</si>
  <si>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</si>
  <si>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</si>
  <si>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</si>
  <si>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</si>
  <si>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</si>
  <si>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</si>
  <si>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</si>
  <si>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</si>
  <si>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</si>
  <si>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</si>
  <si>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</si>
  <si>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</si>
  <si>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</si>
  <si>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</si>
  <si>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</si>
  <si>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</si>
  <si>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</si>
  <si>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</si>
  <si>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</si>
  <si>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</si>
  <si>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</si>
  <si>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</si>
  <si>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</si>
  <si>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</si>
  <si>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</si>
  <si>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</si>
  <si>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</si>
  <si>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</si>
  <si>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</si>
  <si>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</si>
  <si>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</si>
  <si>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</si>
  <si>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</si>
  <si>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</si>
  <si>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</si>
  <si>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</si>
  <si>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</si>
  <si>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</si>
  <si>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</si>
  <si>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</si>
  <si>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</si>
  <si>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</si>
  <si>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</si>
  <si>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</si>
  <si>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</si>
  <si>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</si>
  <si>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</si>
  <si>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</si>
  <si>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</si>
  <si>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</si>
  <si>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</si>
  <si>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</si>
  <si>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</si>
  <si>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</si>
  <si>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</si>
  <si>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</si>
  <si>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</si>
  <si>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</si>
  <si>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</si>
  <si>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</si>
  <si>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</si>
  <si>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</si>
  <si>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</si>
  <si>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</si>
  <si>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</si>
  <si>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</si>
  <si>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</si>
  <si>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</si>
  <si>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</si>
  <si>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</si>
  <si>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</si>
  <si>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</si>
  <si>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</si>
  <si>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</si>
  <si>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</si>
  <si>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</si>
  <si>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</si>
  <si>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</si>
  <si>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</si>
  <si>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</si>
  <si>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</si>
  <si>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</si>
  <si>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</si>
  <si>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</si>
  <si>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</si>
  <si>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</si>
  <si>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</si>
  <si>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</si>
  <si>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</si>
  <si>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</si>
  <si>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</si>
  <si>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</si>
  <si>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</si>
  <si>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</si>
  <si>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</si>
  <si>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</si>
  <si>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</si>
  <si>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</si>
  <si>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</si>
  <si>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</si>
  <si>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</si>
  <si>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</si>
  <si>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</si>
  <si>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</si>
  <si>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</si>
  <si>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</si>
  <si>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</si>
  <si>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</si>
  <si>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</si>
  <si>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</si>
  <si>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</si>
  <si>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</si>
  <si>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</si>
  <si>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</si>
  <si>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</si>
  <si>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</si>
  <si>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</si>
  <si>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</si>
  <si>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</si>
  <si>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</si>
  <si>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</si>
  <si>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</si>
  <si>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</si>
  <si>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</si>
  <si>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</si>
  <si>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</si>
  <si>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</si>
  <si>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</si>
  <si>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</si>
  <si>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</si>
  <si>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</si>
  <si>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</si>
  <si>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</si>
  <si>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</si>
  <si>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</si>
  <si>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</si>
  <si>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</si>
  <si>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</si>
  <si>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</si>
  <si>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</si>
  <si>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</si>
  <si>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</si>
  <si>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</si>
  <si>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</si>
  <si>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</si>
  <si>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</si>
  <si>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</si>
  <si>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</si>
  <si>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</si>
  <si>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</si>
  <si>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</si>
  <si>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</si>
  <si>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</si>
  <si>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</si>
  <si>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</si>
  <si>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</si>
  <si>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</si>
  <si>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</si>
  <si>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</si>
  <si>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</si>
  <si>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</si>
  <si>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</si>
  <si>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</si>
  <si>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</si>
  <si>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</si>
  <si>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</si>
  <si>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</si>
  <si>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</si>
  <si>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</si>
  <si>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</si>
  <si>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</si>
  <si>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</si>
  <si>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</si>
  <si>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</si>
  <si>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</si>
  <si>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</si>
  <si>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</si>
  <si>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</si>
  <si>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</si>
  <si>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</si>
  <si>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</si>
  <si>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</si>
  <si>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</si>
  <si>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</si>
  <si>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</si>
  <si>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</si>
  <si>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</si>
  <si>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</si>
  <si>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</si>
  <si>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</si>
  <si>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</si>
  <si>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</si>
  <si>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</si>
  <si>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</si>
  <si>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</si>
  <si>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</si>
  <si>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</si>
  <si>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</si>
  <si>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</si>
  <si>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</si>
  <si>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</si>
  <si>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</si>
  <si>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</si>
  <si>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</si>
  <si>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</si>
  <si>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</si>
  <si>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</si>
  <si>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</si>
  <si>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</si>
  <si>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</si>
  <si>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</si>
  <si>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</si>
  <si>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</si>
  <si>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</si>
  <si>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</si>
  <si>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</si>
  <si>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</si>
  <si>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</si>
  <si>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</si>
  <si>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</si>
  <si>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</si>
  <si>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</si>
  <si>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</si>
  <si>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</si>
  <si>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</si>
  <si>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</si>
  <si>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</si>
  <si>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</si>
  <si>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</si>
  <si>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</si>
  <si>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</si>
  <si>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</si>
  <si>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</si>
  <si>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</si>
  <si>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</si>
  <si>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</si>
  <si>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</si>
  <si>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</si>
  <si>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</si>
  <si>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</si>
  <si>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</si>
  <si>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</si>
  <si>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</si>
  <si>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</si>
  <si>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</si>
  <si>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</si>
  <si>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</si>
  <si>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</si>
  <si>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</si>
  <si>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</si>
  <si>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</si>
  <si>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</si>
  <si>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</si>
  <si>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</si>
  <si>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</si>
  <si>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</si>
  <si>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</si>
  <si>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</si>
  <si>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</si>
  <si>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</si>
  <si>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</si>
  <si>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</si>
  <si>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</si>
  <si>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</si>
  <si>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</si>
  <si>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</si>
  <si>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</si>
  <si>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</si>
  <si>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</si>
  <si>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</si>
  <si>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</si>
  <si>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</si>
  <si>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</si>
  <si>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</si>
  <si>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</si>
  <si>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</si>
  <si>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</si>
  <si>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</si>
  <si>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</si>
  <si>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</si>
  <si>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</si>
  <si>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</si>
  <si>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</si>
  <si>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</si>
  <si>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</si>
  <si>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</si>
  <si>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</si>
  <si>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</si>
  <si>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</si>
  <si>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</si>
  <si>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</si>
  <si>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</si>
  <si>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</si>
  <si>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</si>
  <si>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</si>
  <si>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</si>
  <si>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</si>
  <si>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</si>
  <si>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</si>
  <si>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</si>
  <si>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</si>
  <si>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</si>
  <si>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</si>
  <si>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</si>
  <si>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</si>
  <si>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</si>
  <si>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</si>
  <si>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</si>
  <si>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</si>
  <si>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</si>
  <si>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</si>
  <si>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</si>
  <si>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</si>
  <si>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</si>
  <si>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</si>
  <si>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</si>
  <si>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</si>
  <si>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</si>
  <si>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</si>
  <si>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</si>
  <si>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</si>
  <si>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</si>
  <si>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</si>
  <si>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</si>
  <si>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</si>
  <si>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</si>
  <si>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</si>
  <si>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</si>
  <si>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</si>
  <si>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</si>
  <si>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</si>
  <si>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</si>
  <si>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</si>
  <si>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</si>
  <si>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</si>
  <si>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</si>
  <si>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</si>
  <si>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</si>
  <si>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</si>
  <si>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</si>
  <si>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</si>
  <si>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</si>
  <si>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</si>
  <si>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</si>
  <si>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</si>
  <si>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</si>
  <si>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</si>
  <si>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</si>
  <si>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</si>
  <si>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</si>
  <si>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</si>
  <si>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</si>
  <si>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</si>
  <si>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</si>
  <si>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</si>
  <si>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</si>
  <si>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</si>
  <si>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</si>
  <si>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</si>
  <si>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</si>
  <si>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</si>
  <si>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</si>
  <si>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</si>
  <si>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</si>
  <si>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</si>
  <si>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</si>
  <si>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</si>
  <si>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</si>
  <si>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</si>
  <si>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</si>
  <si>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</si>
  <si>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</si>
  <si>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</si>
  <si>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</si>
  <si>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</si>
  <si>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</si>
  <si>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</si>
  <si>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</si>
  <si>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</si>
  <si>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</si>
  <si>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</si>
  <si>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</si>
  <si>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</si>
  <si>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</si>
  <si>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</si>
  <si>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</si>
  <si>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</si>
  <si>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</si>
  <si>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</si>
  <si>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</si>
  <si>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</si>
  <si>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</si>
  <si>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</si>
  <si>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</si>
  <si>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</si>
  <si>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</si>
  <si>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</si>
  <si>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</si>
  <si>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</si>
  <si>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</si>
  <si>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</si>
  <si>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</si>
  <si>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</si>
  <si>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</si>
  <si>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</si>
  <si>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</si>
  <si>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</si>
  <si>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</si>
  <si>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</si>
  <si>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</si>
  <si>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</si>
  <si>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</si>
  <si>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</si>
  <si>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</si>
  <si>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</si>
  <si>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</si>
  <si>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</si>
  <si>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</si>
  <si>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</si>
  <si>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</si>
  <si>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</si>
  <si>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</si>
  <si>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</si>
  <si>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</si>
  <si>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</si>
  <si>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</si>
  <si>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</si>
  <si>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</si>
  <si>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</si>
  <si>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</si>
  <si>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</si>
  <si>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</si>
  <si>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</si>
  <si>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</si>
  <si>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</si>
  <si>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</si>
  <si>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</si>
  <si>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</si>
  <si>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</si>
  <si>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</si>
  <si>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</si>
  <si>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</si>
  <si>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</si>
  <si>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</si>
  <si>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</si>
  <si>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</si>
  <si>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</si>
  <si>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</si>
  <si>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</si>
  <si>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</si>
  <si>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</si>
  <si>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</si>
  <si>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</si>
  <si>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</si>
  <si>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</si>
  <si>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</si>
  <si>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</si>
  <si>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</si>
  <si>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</si>
  <si>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</si>
  <si>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</si>
  <si>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</si>
  <si>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</si>
  <si>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</si>
  <si>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</si>
  <si>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</si>
  <si>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</si>
  <si>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</si>
  <si>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</si>
  <si>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</si>
  <si>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</si>
  <si>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</si>
  <si>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</si>
  <si>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</si>
  <si>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</si>
  <si>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</si>
  <si>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</si>
  <si>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</si>
  <si>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</si>
  <si>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</si>
  <si>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</si>
  <si>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</si>
  <si>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</si>
  <si>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</si>
  <si>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</si>
  <si>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</si>
  <si>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</si>
  <si>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</si>
  <si>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</si>
  <si>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</si>
  <si>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</si>
  <si>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</si>
  <si>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</si>
  <si>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</si>
  <si>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</si>
  <si>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</si>
  <si>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</si>
  <si>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</si>
  <si>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</si>
  <si>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</si>
  <si>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</si>
  <si>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</si>
  <si>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</si>
  <si>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</si>
  <si>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</si>
  <si>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</si>
  <si>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</si>
  <si>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</si>
  <si>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</si>
  <si>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</si>
  <si>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</si>
  <si>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</si>
  <si>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</si>
  <si>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</si>
  <si>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</si>
  <si>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</si>
  <si>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</si>
  <si>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</si>
  <si>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</si>
  <si>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</si>
  <si>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</si>
  <si>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</si>
  <si>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</si>
  <si>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</si>
  <si>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</si>
  <si>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</si>
  <si>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</si>
  <si>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</si>
  <si>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</si>
  <si>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</si>
  <si>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</si>
  <si>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</si>
  <si>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</si>
  <si>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</si>
  <si>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</si>
  <si>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</si>
  <si>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</si>
  <si>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</si>
  <si>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</si>
  <si>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</si>
  <si>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</si>
  <si>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</si>
  <si>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</si>
  <si>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</si>
  <si>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</si>
  <si>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</si>
  <si>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</si>
  <si>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</si>
  <si>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</si>
  <si>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</si>
  <si>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</si>
  <si>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</si>
  <si>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</si>
  <si>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</si>
  <si>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</si>
  <si>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</si>
  <si>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</si>
  <si>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</si>
  <si>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</si>
  <si>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</si>
  <si>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</si>
  <si>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</si>
  <si>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</si>
  <si>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</si>
  <si>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</si>
  <si>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</si>
  <si>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</si>
  <si>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</si>
  <si>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</si>
  <si>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</si>
  <si>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</si>
  <si>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</si>
  <si>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</si>
  <si>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</si>
  <si>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</si>
  <si>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</si>
  <si>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</si>
  <si>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</si>
  <si>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</si>
  <si>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</si>
  <si>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</si>
  <si>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</si>
  <si>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</si>
  <si>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</si>
  <si>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</si>
  <si>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</si>
  <si>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</si>
  <si>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</si>
  <si>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</si>
  <si>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</si>
  <si>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</si>
  <si>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</si>
  <si>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</si>
  <si>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</si>
  <si>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</si>
  <si>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</si>
  <si>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</si>
  <si>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</si>
  <si>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</si>
  <si>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</si>
  <si>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</si>
  <si>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</si>
  <si>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</si>
  <si>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</si>
  <si>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</si>
  <si>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</si>
  <si>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</si>
  <si>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</si>
  <si>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</si>
  <si>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</si>
  <si>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</si>
  <si>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</si>
  <si>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</si>
  <si>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</si>
  <si>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</si>
  <si>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</si>
  <si>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</si>
  <si>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</si>
  <si>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</si>
  <si>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</si>
  <si>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</si>
  <si>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</si>
  <si>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</si>
  <si>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</si>
  <si>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</si>
  <si>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</si>
  <si>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</si>
  <si>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</si>
  <si>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</si>
  <si>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</si>
  <si>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</si>
  <si>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</si>
  <si>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</si>
  <si>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</si>
  <si>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</si>
  <si>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</si>
  <si>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</si>
  <si>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</si>
  <si>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</si>
  <si>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</si>
  <si>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</si>
  <si>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</si>
  <si>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</si>
  <si>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</si>
  <si>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</si>
  <si>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</si>
  <si>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</si>
  <si>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</si>
  <si>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</si>
  <si>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</si>
  <si>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</si>
  <si>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</si>
  <si>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</si>
  <si>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</si>
  <si>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</si>
  <si>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</si>
  <si>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</si>
  <si>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</si>
  <si>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</si>
  <si>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</si>
  <si>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</si>
  <si>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</si>
  <si>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</si>
  <si>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</si>
  <si>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</si>
  <si>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</si>
  <si>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</si>
  <si>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</si>
  <si>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</si>
  <si>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</si>
  <si>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</si>
  <si>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</si>
  <si>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</si>
  <si>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</si>
  <si>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</si>
  <si>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</si>
  <si>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</si>
  <si>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</si>
  <si>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</si>
  <si>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</si>
  <si>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</si>
  <si>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</si>
  <si>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</si>
  <si>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</si>
  <si>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</si>
  <si>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</si>
  <si>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</si>
  <si>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</si>
  <si>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</si>
  <si>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</si>
  <si>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</si>
  <si>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</si>
  <si>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</si>
  <si>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</si>
  <si>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</si>
  <si>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</si>
  <si>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</si>
  <si>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</si>
  <si>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</si>
  <si>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</si>
  <si>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</si>
  <si>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</si>
  <si>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</si>
  <si>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</si>
  <si>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</si>
  <si>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</si>
  <si>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</si>
  <si>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</si>
  <si>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</si>
  <si>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</si>
  <si>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</si>
  <si>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</si>
  <si>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</si>
  <si>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</si>
  <si>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</si>
  <si>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</si>
  <si>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</si>
  <si>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</si>
  <si>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</si>
  <si>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</si>
  <si>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</si>
  <si>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</si>
  <si>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</si>
  <si>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</si>
  <si>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</si>
  <si>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</si>
  <si>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</si>
  <si>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</si>
  <si>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</si>
  <si>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</si>
  <si>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</si>
  <si>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</si>
  <si>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</si>
  <si>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</si>
  <si>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</si>
  <si>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</si>
  <si>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</si>
  <si>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</si>
  <si>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</si>
  <si>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</si>
  <si>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</si>
  <si>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</si>
  <si>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</si>
  <si>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</si>
  <si>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</si>
  <si>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</si>
  <si>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</si>
  <si>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</si>
  <si>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</si>
  <si>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</si>
  <si>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</si>
  <si>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</si>
  <si>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</si>
  <si>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</si>
  <si>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</si>
  <si>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</si>
  <si>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</si>
  <si>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</si>
  <si>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</si>
  <si>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</si>
  <si>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</si>
  <si>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</si>
  <si>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</si>
  <si>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</si>
  <si>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</si>
  <si>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</si>
  <si>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</si>
  <si>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</si>
  <si>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</si>
  <si>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</si>
  <si>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</si>
  <si>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</si>
  <si>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</si>
  <si>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</si>
  <si>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</si>
  <si>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</si>
  <si>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</si>
  <si>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</si>
  <si>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</si>
  <si>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</si>
  <si>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</si>
  <si>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</si>
  <si>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</si>
  <si>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</si>
  <si>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</si>
  <si>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</si>
  <si>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</si>
  <si>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</si>
  <si>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</si>
  <si>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</si>
  <si>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</si>
  <si>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</si>
  <si>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</si>
  <si>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</si>
  <si>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</si>
  <si>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</si>
  <si>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</si>
  <si>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</si>
  <si>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</si>
  <si>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</si>
  <si>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</si>
  <si>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</si>
  <si>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</si>
  <si>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</si>
  <si>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</si>
  <si>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</si>
  <si>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</si>
  <si>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</si>
  <si>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</si>
  <si>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</si>
  <si>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</si>
  <si>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</si>
  <si>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</si>
  <si>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</si>
  <si>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</si>
  <si>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</si>
  <si>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</si>
  <si>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</si>
  <si>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</si>
  <si>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</si>
  <si>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</si>
  <si>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</si>
  <si>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</si>
  <si>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</si>
  <si>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</si>
  <si>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</si>
  <si>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</si>
  <si>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</si>
  <si>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</si>
  <si>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</si>
  <si>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</si>
  <si>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</si>
  <si>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</si>
  <si>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</si>
  <si>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</si>
  <si>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</si>
  <si>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</si>
  <si>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</si>
  <si>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</si>
  <si>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</si>
  <si>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</si>
  <si>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</si>
  <si>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</si>
  <si>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</si>
  <si>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</si>
  <si>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</si>
  <si>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</si>
  <si>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</si>
  <si>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</si>
  <si>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</si>
  <si>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</si>
  <si>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</si>
  <si>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</si>
  <si>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</si>
  <si>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</si>
  <si>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</si>
  <si>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</si>
  <si>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</si>
  <si>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</si>
  <si>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</si>
  <si>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</si>
  <si>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</si>
  <si>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</si>
  <si>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</si>
  <si>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</si>
  <si>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</si>
  <si>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</si>
  <si>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</si>
  <si>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</si>
  <si>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</si>
  <si>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</si>
  <si>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</si>
  <si>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</si>
  <si>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</si>
  <si>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</si>
  <si>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</si>
  <si>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</si>
  <si>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</si>
  <si>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</si>
  <si>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</si>
  <si>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</si>
  <si>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</si>
  <si>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</si>
  <si>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</si>
  <si>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</si>
  <si>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</si>
  <si>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</si>
  <si>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</si>
  <si>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</si>
  <si>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</si>
  <si>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</si>
  <si>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</si>
  <si>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</si>
  <si>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</si>
  <si>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</si>
  <si>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</si>
  <si>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</si>
  <si>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</si>
  <si>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</si>
  <si>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</si>
  <si>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</si>
  <si>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</si>
  <si>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</si>
  <si>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</si>
  <si>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</si>
  <si>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</si>
  <si>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</si>
  <si>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</si>
  <si>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</si>
  <si>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</si>
  <si>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</si>
  <si>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</si>
  <si>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</si>
  <si>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</si>
  <si>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</si>
  <si>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</si>
  <si>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</si>
  <si>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</si>
  <si>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</si>
  <si>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</si>
  <si>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</si>
  <si>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</si>
  <si>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</si>
  <si>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</si>
  <si>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</si>
  <si>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</si>
  <si>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</si>
  <si>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</si>
  <si>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</si>
  <si>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</si>
  <si>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</si>
  <si>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</si>
  <si>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</si>
  <si>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</si>
  <si>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</si>
  <si>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</si>
  <si>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</si>
  <si>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</si>
  <si>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</si>
  <si>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</si>
  <si>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</si>
  <si>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</si>
  <si>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</si>
  <si>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</si>
  <si>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</si>
  <si>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</si>
  <si>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</si>
  <si>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</si>
  <si>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</si>
  <si>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</si>
  <si>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</si>
  <si>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</si>
  <si>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</si>
  <si>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</si>
  <si>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</si>
  <si>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</si>
  <si>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</si>
  <si>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</si>
  <si>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</si>
  <si>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</si>
  <si>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</si>
  <si>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</si>
  <si>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</si>
  <si>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</si>
  <si>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</si>
  <si>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</si>
  <si>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</si>
  <si>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</si>
  <si>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</si>
  <si>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</si>
  <si>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</si>
  <si>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</si>
  <si>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</si>
  <si>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</si>
  <si>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</si>
  <si>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</si>
  <si>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</si>
  <si>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</si>
  <si>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</si>
  <si>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</si>
  <si>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</si>
  <si>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</si>
  <si>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</si>
  <si>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</si>
  <si>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</si>
  <si>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</si>
  <si>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</si>
  <si>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</si>
  <si>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</si>
  <si>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</si>
  <si>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</si>
  <si>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</si>
  <si>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</si>
  <si>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</si>
  <si>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</si>
  <si>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</si>
  <si>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</si>
  <si>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</si>
  <si>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</si>
  <si>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</si>
  <si>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</si>
  <si>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</si>
  <si>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</si>
  <si>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</si>
  <si>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</si>
  <si>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</si>
  <si>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</si>
  <si>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</si>
  <si>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</si>
  <si>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</si>
  <si>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</si>
  <si>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</si>
  <si>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</si>
  <si>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</si>
  <si>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</si>
  <si>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</si>
  <si>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</si>
  <si>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</si>
  <si>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</si>
  <si>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</si>
  <si>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</si>
  <si>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</si>
  <si>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</si>
  <si>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</si>
  <si>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</si>
  <si>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</si>
  <si>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</si>
  <si>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</si>
  <si>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</si>
  <si>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</si>
  <si>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</si>
  <si>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</si>
  <si>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</si>
  <si>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</si>
  <si>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</si>
  <si>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</si>
  <si>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</si>
  <si>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</si>
  <si>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</si>
  <si>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</si>
  <si>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</si>
  <si>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</si>
  <si>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</si>
  <si>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</si>
  <si>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</si>
  <si>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</si>
  <si>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</si>
  <si>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</si>
  <si>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</si>
  <si>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</si>
  <si>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</si>
  <si>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</si>
  <si>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</si>
  <si>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</si>
  <si>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</si>
  <si>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</si>
  <si>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</si>
  <si>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</si>
  <si>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</si>
  <si>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</si>
  <si>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</si>
  <si>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</si>
  <si>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</si>
  <si>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</si>
  <si>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</si>
  <si>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</si>
  <si>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</si>
  <si>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</si>
  <si>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</si>
  <si>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</si>
  <si>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</si>
  <si>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</si>
  <si>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</si>
  <si>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</si>
  <si>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</si>
  <si>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</si>
  <si>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</si>
  <si>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</si>
  <si>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</si>
  <si>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</si>
  <si>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</si>
  <si>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</si>
  <si>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</si>
  <si>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</si>
  <si>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</si>
  <si>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</si>
  <si>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</si>
  <si>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</si>
  <si>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</si>
  <si>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</si>
  <si>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</si>
  <si>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</si>
  <si>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</si>
  <si>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</si>
  <si>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</si>
  <si>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</si>
  <si>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</si>
  <si>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</si>
  <si>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</si>
  <si>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</si>
  <si>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</si>
  <si>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</si>
  <si>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</si>
  <si>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</si>
  <si>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</si>
  <si>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</si>
  <si>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</si>
  <si>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</si>
  <si>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</si>
  <si>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</si>
  <si>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</si>
  <si>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</si>
  <si>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</si>
  <si>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</si>
  <si>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</si>
  <si>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</si>
  <si>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</si>
  <si>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</si>
  <si>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</si>
  <si>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</si>
  <si>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</si>
  <si>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</si>
  <si>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</si>
  <si>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</si>
  <si>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</si>
  <si>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</si>
  <si>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</si>
  <si>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</si>
  <si>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</si>
  <si>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</si>
  <si>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</si>
  <si>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</si>
  <si>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</si>
  <si>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</si>
  <si>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</si>
  <si>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</si>
  <si>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</si>
  <si>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</si>
  <si>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</si>
  <si>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</si>
  <si>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</si>
  <si>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</si>
  <si>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</si>
  <si>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</si>
  <si>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</si>
  <si>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</si>
  <si>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</si>
  <si>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</si>
  <si>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</si>
  <si>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</si>
  <si>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</si>
  <si>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</si>
  <si>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</si>
  <si>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</si>
  <si>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</si>
  <si>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</si>
  <si>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</si>
  <si>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</si>
  <si>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</si>
  <si>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</si>
  <si>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</si>
  <si>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</si>
  <si>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</si>
  <si>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</si>
  <si>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</si>
  <si>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</si>
  <si>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</si>
  <si>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</si>
  <si>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</si>
  <si>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</si>
  <si>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</si>
  <si>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</si>
  <si>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</si>
  <si>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</si>
  <si>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</si>
  <si>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</si>
  <si>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</si>
  <si>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</si>
  <si>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</si>
  <si>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</si>
  <si>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</si>
  <si>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</si>
  <si>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</si>
  <si>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</si>
  <si>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</si>
  <si>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</si>
  <si>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</si>
  <si>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</si>
  <si>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</si>
  <si>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</si>
  <si>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</si>
  <si>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</si>
  <si>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</si>
  <si>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</si>
  <si>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</si>
  <si>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</si>
  <si>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</si>
  <si>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</si>
  <si>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</si>
  <si>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</si>
  <si>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</si>
  <si>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</si>
  <si>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</si>
  <si>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</si>
  <si>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</si>
  <si>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</si>
  <si>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</si>
  <si>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</si>
  <si>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</si>
  <si>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</si>
  <si>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</si>
  <si>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</si>
  <si>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</si>
  <si>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</si>
  <si>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</si>
  <si>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</si>
  <si>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</si>
  <si>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</si>
  <si>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</si>
  <si>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</si>
  <si>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</si>
  <si>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</si>
  <si>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</si>
  <si>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</si>
  <si>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</si>
  <si>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</si>
  <si>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</si>
  <si>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</si>
  <si>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</si>
  <si>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</si>
  <si>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</si>
  <si>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</si>
  <si>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</si>
  <si>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</si>
  <si>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</si>
  <si>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</si>
  <si>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</si>
  <si>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</si>
  <si>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</si>
  <si>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</si>
  <si>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</si>
  <si>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</si>
  <si>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</si>
  <si>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</si>
  <si>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</si>
  <si>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</si>
  <si>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</si>
  <si>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</si>
  <si>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</si>
  <si>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</si>
  <si>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</si>
  <si>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</si>
  <si>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</si>
  <si>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</si>
  <si>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</si>
  <si>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</si>
  <si>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</si>
  <si>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</si>
  <si>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</si>
  <si>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</si>
  <si>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</si>
  <si>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</si>
  <si>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</si>
  <si>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</si>
  <si>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</si>
  <si>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</si>
  <si>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</si>
  <si>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</si>
  <si>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</si>
  <si>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</si>
  <si>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</si>
  <si>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</si>
  <si>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</si>
  <si>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</si>
  <si>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</si>
  <si>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</si>
  <si>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</si>
  <si>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</si>
  <si>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</si>
  <si>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</si>
  <si>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</si>
  <si>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</si>
  <si>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</si>
  <si>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</si>
  <si>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</si>
  <si>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</si>
  <si>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</si>
  <si>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</si>
  <si>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</si>
  <si>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</si>
  <si>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</si>
  <si>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</si>
  <si>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</si>
  <si>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</si>
  <si>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</si>
  <si>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</si>
  <si>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</si>
  <si>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</si>
  <si>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</si>
  <si>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</si>
  <si>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</si>
  <si>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</si>
  <si>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</si>
  <si>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</si>
  <si>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</si>
  <si>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</si>
  <si>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</si>
  <si>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</si>
  <si>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</si>
  <si>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</si>
  <si>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</si>
  <si>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</si>
  <si>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</si>
  <si>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</si>
  <si>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</si>
  <si>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</si>
  <si>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</si>
  <si>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</si>
  <si>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</si>
  <si>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</si>
  <si>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</si>
  <si>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</si>
  <si>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</si>
  <si>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</si>
  <si>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</si>
  <si>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</si>
  <si>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</si>
  <si>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</si>
  <si>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</si>
  <si>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</si>
  <si>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</si>
  <si>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</si>
  <si>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</si>
  <si>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</si>
  <si>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</si>
  <si>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</si>
  <si>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</si>
  <si>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</si>
  <si>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</si>
  <si>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</si>
  <si>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</si>
  <si>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</si>
  <si>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</si>
  <si>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</si>
  <si>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</si>
  <si>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</si>
  <si>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</si>
  <si>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</si>
  <si>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</si>
  <si>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</si>
  <si>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</si>
  <si>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</si>
  <si>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</si>
  <si>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</si>
  <si>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</si>
  <si>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</si>
  <si>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</si>
  <si>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</si>
  <si>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</si>
  <si>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</si>
  <si>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</si>
  <si>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</si>
  <si>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</si>
  <si>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</si>
  <si>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</si>
  <si>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</si>
  <si>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</si>
  <si>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</si>
  <si>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</si>
  <si>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</si>
  <si>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</si>
  <si>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</si>
  <si>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</si>
  <si>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</si>
  <si>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</si>
  <si>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</si>
  <si>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</si>
  <si>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</si>
  <si>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</si>
  <si>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</si>
  <si>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</si>
  <si>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</si>
  <si>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</si>
  <si>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</si>
  <si>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</si>
  <si>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</si>
  <si>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</si>
  <si>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</si>
  <si>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</si>
  <si>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</si>
  <si>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</si>
  <si>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</si>
  <si>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</si>
  <si>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</si>
  <si>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</si>
  <si>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</si>
  <si>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</si>
  <si>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</si>
  <si>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</si>
  <si>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</si>
  <si>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</si>
  <si>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</si>
  <si>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</si>
  <si>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</si>
  <si>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</si>
  <si>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</si>
  <si>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</si>
  <si>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</si>
  <si>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</si>
  <si>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</si>
  <si>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</si>
  <si>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</si>
  <si>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</si>
  <si>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</si>
  <si>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</si>
  <si>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</si>
  <si>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</si>
  <si>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</si>
  <si>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</si>
  <si>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</si>
  <si>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</si>
  <si>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</si>
  <si>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</si>
  <si>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</si>
  <si>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</si>
  <si>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</si>
  <si>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</si>
  <si>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</si>
  <si>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</si>
  <si>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</si>
  <si>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</si>
  <si>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</si>
  <si>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</si>
  <si>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</si>
  <si>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</si>
  <si>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</si>
  <si>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</si>
  <si>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</si>
  <si>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</si>
  <si>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</si>
  <si>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</si>
  <si>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</si>
  <si>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</si>
  <si>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</si>
  <si>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</si>
  <si>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</si>
  <si>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</si>
  <si>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</si>
  <si>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</si>
  <si>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</si>
  <si>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</si>
  <si>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</si>
  <si>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</si>
  <si>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</si>
  <si>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</si>
  <si>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</si>
  <si>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</si>
  <si>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</si>
  <si>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</si>
  <si>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</si>
  <si>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</si>
  <si>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</si>
  <si>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</si>
  <si>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</si>
  <si>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</si>
  <si>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</si>
  <si>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</si>
  <si>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</si>
  <si>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</si>
  <si>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</si>
  <si>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</si>
  <si>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</si>
  <si>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</si>
  <si>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</si>
  <si>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</si>
  <si>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</si>
  <si>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</si>
  <si>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</si>
  <si>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</si>
  <si>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</si>
  <si>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</si>
  <si>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</si>
  <si>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</si>
  <si>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</si>
  <si>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</si>
  <si>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</si>
  <si>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</si>
  <si>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</si>
  <si>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</si>
  <si>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</si>
  <si>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</si>
  <si>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</si>
  <si>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</si>
  <si>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</si>
  <si>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</si>
  <si>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</si>
  <si>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</si>
  <si>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</si>
  <si>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</si>
  <si>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</si>
  <si>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</si>
  <si>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</si>
  <si>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</si>
  <si>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</si>
  <si>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</si>
  <si>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</si>
  <si>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</si>
  <si>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</si>
  <si>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</si>
  <si>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</si>
  <si>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</si>
  <si>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</si>
  <si>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</si>
  <si>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</si>
  <si>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</si>
  <si>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</si>
  <si>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</si>
  <si>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</si>
  <si>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</si>
  <si>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</si>
  <si>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</si>
  <si>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</si>
  <si>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</si>
  <si>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</si>
  <si>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</si>
  <si>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</si>
  <si>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</si>
  <si>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</si>
  <si>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</si>
  <si>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</si>
  <si>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</si>
  <si>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</si>
  <si>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</si>
  <si>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</si>
  <si>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</si>
  <si>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</si>
  <si>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</si>
  <si>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</si>
  <si>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</si>
  <si>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</si>
  <si>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</si>
  <si>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</si>
  <si>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</si>
  <si>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</si>
  <si>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</si>
  <si>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</si>
  <si>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</si>
  <si>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</si>
  <si>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</si>
  <si>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</si>
  <si>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</si>
  <si>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</si>
  <si>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</si>
  <si>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</si>
  <si>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</si>
  <si>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</si>
  <si>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</si>
  <si>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</si>
  <si>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</si>
  <si>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</si>
  <si>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</si>
  <si>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</si>
  <si>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</si>
  <si>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</si>
  <si>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</si>
  <si>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</si>
  <si>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</si>
  <si>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</si>
  <si>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</si>
  <si>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</si>
  <si>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</si>
  <si>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</si>
  <si>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</si>
  <si>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</si>
  <si>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</si>
  <si>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</si>
  <si>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</si>
  <si>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</si>
  <si>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</si>
  <si>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</si>
  <si>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</si>
  <si>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</si>
  <si>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</si>
  <si>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</si>
  <si>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</si>
  <si>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</si>
  <si>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</si>
  <si>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</si>
  <si>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</si>
  <si>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</si>
  <si>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</si>
  <si>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</si>
  <si>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</si>
  <si>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</si>
  <si>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</si>
  <si>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</si>
  <si>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</si>
  <si>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</si>
  <si>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</si>
  <si>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</si>
  <si>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</si>
  <si>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</si>
  <si>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</si>
  <si>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</si>
  <si>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</si>
  <si>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</si>
  <si>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</si>
  <si>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</si>
  <si>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</si>
  <si>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</si>
  <si>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</si>
  <si>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</si>
  <si>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</si>
  <si>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</si>
  <si>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</si>
  <si>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</si>
  <si>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</si>
  <si>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</si>
  <si>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</si>
  <si>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</si>
  <si>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</si>
  <si>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</si>
  <si>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</si>
  <si>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</si>
  <si>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</si>
  <si>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</si>
  <si>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</si>
  <si>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</si>
  <si>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</si>
  <si>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</si>
  <si>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</si>
  <si>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</si>
  <si>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</si>
  <si>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</si>
  <si>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</si>
  <si>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</si>
  <si>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</si>
  <si>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</si>
  <si>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</si>
  <si>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</si>
  <si>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</si>
  <si>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</si>
  <si>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</si>
  <si>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</si>
  <si>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</si>
  <si>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</si>
  <si>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</si>
  <si>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</si>
  <si>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</si>
  <si>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</si>
  <si>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</si>
  <si>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</si>
  <si>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</si>
  <si>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</si>
  <si>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</si>
  <si>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</si>
  <si>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</si>
  <si>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</si>
  <si>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</si>
  <si>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</si>
  <si>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</si>
  <si>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</si>
  <si>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</si>
  <si>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</si>
  <si>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</si>
  <si>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</si>
  <si>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</si>
  <si>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</si>
  <si>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</si>
  <si>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</si>
  <si>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</si>
  <si>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</si>
  <si>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</si>
  <si>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</si>
  <si>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</si>
  <si>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</si>
  <si>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</si>
  <si>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</si>
  <si>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</si>
  <si>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</si>
  <si>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</si>
  <si>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</si>
  <si>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</si>
  <si>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</si>
  <si>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</si>
  <si>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</si>
  <si>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</si>
  <si>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</si>
  <si>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</si>
  <si>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</si>
  <si>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</si>
  <si>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</si>
  <si>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</si>
  <si>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</si>
  <si>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</si>
  <si>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</si>
  <si>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</si>
  <si>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</si>
  <si>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</si>
  <si>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</si>
  <si>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</si>
  <si>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</si>
  <si>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</si>
  <si>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</si>
  <si>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</si>
  <si>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</si>
  <si>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</si>
  <si>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</si>
  <si>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</si>
  <si>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</si>
  <si>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</si>
  <si>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</si>
  <si>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</si>
  <si>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</si>
  <si>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</si>
  <si>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</si>
  <si>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</si>
  <si>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</si>
  <si>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</si>
  <si>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</si>
  <si>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</si>
  <si>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</si>
  <si>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</si>
  <si>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</si>
  <si>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</si>
  <si>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</si>
  <si>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</si>
  <si>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</si>
  <si>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</si>
  <si>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</si>
  <si>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</si>
  <si>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</si>
  <si>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</si>
  <si>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</si>
  <si>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</si>
  <si>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</si>
  <si>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</si>
  <si>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</si>
  <si>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</si>
  <si>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</si>
  <si>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</si>
  <si>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</si>
  <si>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</si>
  <si>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</si>
  <si>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</si>
  <si>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</si>
  <si>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</si>
  <si>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</si>
  <si>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</si>
  <si>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</si>
  <si>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</si>
  <si>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</si>
  <si>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</si>
  <si>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</si>
  <si>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</si>
  <si>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</si>
  <si>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</si>
  <si>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</si>
  <si>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</si>
  <si>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</si>
  <si>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</si>
  <si>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</si>
  <si>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</si>
  <si>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</si>
  <si>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</si>
  <si>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</si>
  <si>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</si>
  <si>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</si>
  <si>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</si>
  <si>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</si>
  <si>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</si>
  <si>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</si>
  <si>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</si>
  <si>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</si>
  <si>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</si>
  <si>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</si>
  <si>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</si>
  <si>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</si>
  <si>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</si>
  <si>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</si>
  <si>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</si>
  <si>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</si>
  <si>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</si>
  <si>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</si>
  <si>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</si>
  <si>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</si>
  <si>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</si>
  <si>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</si>
  <si>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</si>
  <si>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</si>
  <si>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</si>
  <si>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</si>
  <si>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</si>
  <si>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</si>
  <si>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</si>
  <si>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</si>
  <si>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</si>
  <si>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</si>
  <si>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</si>
  <si>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</si>
  <si>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</si>
  <si>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</si>
  <si>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</si>
  <si>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</si>
  <si>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</si>
  <si>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</si>
  <si>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</si>
  <si>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</si>
  <si>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</si>
  <si>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</si>
  <si>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</si>
  <si>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</si>
  <si>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</si>
  <si>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</si>
  <si>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</si>
  <si>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</si>
  <si>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</si>
  <si>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</si>
  <si>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</si>
  <si>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</si>
  <si>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</si>
  <si>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</si>
  <si>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</si>
  <si>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</si>
  <si>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</si>
  <si>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</si>
  <si>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</si>
  <si>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</si>
  <si>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</si>
  <si>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</si>
  <si>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</si>
  <si>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</si>
  <si>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</si>
  <si>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</si>
  <si>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</si>
  <si>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</si>
  <si>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</si>
  <si>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</si>
  <si>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</si>
  <si>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</si>
  <si>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</si>
  <si>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</si>
  <si>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</si>
  <si>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</si>
  <si>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</si>
  <si>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</si>
  <si>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</si>
  <si>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</si>
  <si>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</si>
  <si>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</si>
  <si>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</si>
  <si>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</si>
  <si>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</si>
  <si>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</si>
  <si>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</si>
  <si>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</si>
  <si>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</si>
  <si>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</si>
  <si>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</si>
  <si>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</si>
  <si>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</si>
  <si>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</si>
  <si>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</si>
  <si>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</si>
  <si>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</si>
  <si>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</si>
  <si>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</si>
  <si>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</si>
  <si>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</si>
  <si>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</si>
  <si>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</si>
  <si>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</si>
  <si>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</si>
  <si>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</si>
  <si>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</si>
  <si>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</si>
  <si>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</si>
  <si>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</si>
  <si>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</si>
  <si>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</si>
  <si>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</si>
  <si>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</si>
  <si>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</si>
  <si>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</si>
  <si>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</si>
  <si>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</si>
  <si>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</si>
  <si>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</si>
  <si>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</si>
  <si>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</si>
  <si>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</si>
  <si>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</si>
  <si>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</si>
  <si>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</si>
  <si>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</si>
  <si>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</si>
  <si>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</si>
  <si>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</si>
  <si>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</si>
  <si>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</si>
  <si>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</si>
  <si>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</si>
  <si>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</si>
  <si>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</si>
  <si>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</si>
  <si>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</si>
  <si>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</si>
  <si>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</si>
  <si>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</si>
  <si>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</si>
  <si>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</si>
  <si>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</si>
  <si>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</si>
  <si>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</si>
  <si>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</si>
  <si>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</si>
  <si>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</si>
  <si>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</si>
  <si>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</si>
  <si>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</si>
  <si>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</si>
  <si>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</si>
  <si>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</si>
  <si>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</si>
  <si>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</si>
  <si>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</si>
  <si>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</si>
  <si>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</si>
  <si>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</si>
  <si>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</si>
  <si>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</si>
  <si>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</si>
  <si>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</si>
  <si>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</si>
  <si>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</si>
  <si>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</si>
  <si>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</si>
  <si>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</si>
  <si>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</si>
  <si>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</si>
  <si>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</si>
  <si>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</si>
  <si>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</si>
  <si>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</si>
  <si>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</si>
  <si>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</si>
  <si>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</si>
  <si>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</si>
  <si>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</si>
  <si>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</si>
  <si>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</si>
  <si>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</si>
  <si>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</si>
  <si>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</si>
  <si>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</si>
  <si>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</si>
  <si>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</si>
  <si>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</si>
  <si>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</si>
  <si>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</si>
  <si>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</si>
  <si>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</si>
  <si>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</si>
  <si>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</si>
  <si>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</si>
  <si>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</si>
  <si>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</si>
  <si>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</si>
  <si>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</si>
  <si>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</si>
  <si>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</si>
  <si>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</si>
  <si>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</si>
  <si>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</si>
  <si>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</si>
  <si>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</si>
  <si>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</si>
  <si>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</si>
  <si>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</si>
  <si>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</si>
  <si>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</si>
  <si>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</si>
  <si>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</si>
  <si>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</si>
  <si>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</si>
  <si>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</si>
  <si>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</si>
  <si>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</si>
  <si>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</si>
  <si>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</si>
  <si>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</si>
  <si>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</si>
  <si>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</si>
  <si>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</si>
  <si>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</si>
  <si>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</si>
  <si>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</si>
  <si>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</si>
  <si>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</si>
  <si>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</si>
  <si>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</si>
  <si>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</si>
  <si>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</si>
  <si>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</si>
  <si>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</si>
  <si>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</si>
  <si>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</si>
  <si>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</si>
  <si>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</si>
  <si>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</si>
  <si>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</si>
  <si>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</si>
  <si>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</si>
  <si>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</si>
  <si>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</si>
  <si>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</si>
  <si>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</si>
  <si>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</si>
  <si>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</si>
  <si>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</si>
  <si>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</si>
  <si>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</si>
  <si>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</si>
  <si>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</si>
  <si>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</si>
  <si>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</si>
  <si>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</si>
  <si>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</si>
  <si>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</si>
  <si>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</si>
  <si>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</si>
  <si>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</si>
  <si>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</si>
  <si>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</si>
  <si>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</si>
  <si>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</si>
  <si>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</si>
  <si>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</si>
  <si>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</si>
  <si>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</si>
  <si>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</si>
  <si>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</si>
  <si>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</si>
  <si>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</si>
  <si>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</si>
  <si>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</si>
  <si>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</si>
  <si>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</si>
  <si>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</si>
  <si>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</si>
  <si>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</si>
  <si>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</si>
  <si>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</si>
  <si>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</si>
  <si>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</si>
  <si>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</si>
  <si>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</si>
  <si>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</si>
  <si>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</si>
  <si>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</si>
  <si>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</si>
  <si>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</si>
  <si>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</si>
  <si>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</si>
  <si>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</si>
  <si>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</si>
  <si>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</si>
  <si>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</si>
  <si>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</si>
  <si>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</si>
  <si>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</si>
  <si>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</si>
  <si>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</si>
  <si>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</si>
  <si>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</si>
  <si>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</si>
  <si>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</si>
  <si>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</si>
  <si>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</si>
  <si>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</si>
  <si>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</si>
  <si>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</si>
  <si>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</si>
  <si>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</si>
  <si>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</si>
  <si>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</si>
  <si>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</si>
  <si>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</si>
  <si>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</si>
  <si>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</si>
  <si>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</si>
  <si>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</si>
  <si>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</si>
  <si>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</si>
  <si>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</si>
  <si>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</si>
  <si>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</si>
  <si>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</si>
  <si>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</si>
  <si>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</si>
  <si>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</si>
  <si>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</si>
  <si>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</si>
  <si>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</si>
  <si>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</si>
  <si>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</si>
  <si>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</si>
  <si>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</si>
  <si>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</si>
  <si>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</si>
  <si>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</si>
  <si>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</si>
  <si>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</si>
  <si>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</si>
  <si>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</si>
  <si>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</si>
  <si>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</si>
  <si>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</si>
  <si>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</si>
  <si>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</si>
  <si>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</si>
  <si>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</si>
  <si>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</si>
  <si>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</si>
  <si>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</si>
  <si>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</si>
  <si>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</si>
  <si>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</si>
  <si>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</si>
  <si>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</si>
  <si>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</si>
  <si>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</si>
  <si>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</si>
  <si>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</si>
  <si>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</si>
  <si>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</si>
  <si>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</si>
  <si>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</si>
  <si>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</si>
  <si>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</si>
  <si>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</si>
  <si>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</si>
  <si>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</si>
  <si>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</si>
  <si>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</si>
  <si>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</si>
  <si>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</si>
  <si>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</si>
  <si>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</si>
  <si>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</si>
  <si>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</si>
  <si>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</si>
  <si>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</si>
  <si>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</si>
  <si>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</si>
  <si>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</si>
  <si>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</si>
  <si>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</si>
  <si>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</si>
  <si>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</si>
  <si>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</si>
  <si>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</si>
  <si>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</si>
  <si>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</si>
  <si>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</si>
  <si>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</si>
  <si>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</si>
  <si>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</si>
  <si>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</si>
  <si>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</si>
  <si>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</si>
  <si>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</si>
  <si>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</si>
  <si>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</si>
  <si>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</si>
  <si>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</si>
  <si>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</si>
  <si>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</si>
  <si>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</si>
  <si>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</si>
  <si>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</si>
  <si>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</si>
  <si>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</si>
  <si>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</si>
  <si>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</si>
  <si>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</si>
  <si>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</si>
  <si>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AIM METALS &amp; ALLOYS INC</t>
  </si>
  <si>
    <t xml:space="preserve">24 -417-0747 </t>
  </si>
  <si>
    <t>DUNS</t>
  </si>
  <si>
    <t>9100 Henri Bourassa East H1E 2S4 Montreal, QC</t>
  </si>
  <si>
    <t>Mario Portillo</t>
  </si>
  <si>
    <t>mportillo@aimsolder.com</t>
  </si>
  <si>
    <t>(+52) 6562627372</t>
  </si>
  <si>
    <t>Regulatory Affairs Officer</t>
  </si>
  <si>
    <t>They are MSC Berhad CID004434 and Luna CID003387, however they are CFSI RMI Compliant and approved Smelters, by using certify party to confirm the traceability of the tagged materials.</t>
  </si>
  <si>
    <t>100%</t>
  </si>
  <si>
    <t>https://www.aimsolder.com/about-aim-solder/policies-certificates/</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</si>
  <si>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</si>
  <si>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</si>
  <si>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</si>
  <si>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</si>
  <si>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</si>
  <si>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</si>
  <si>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</si>
  <si>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</si>
  <si>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</si>
  <si>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</si>
  <si>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</si>
  <si>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</si>
  <si>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</si>
  <si>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Bairro Guarapiranga</t>
  </si>
  <si>
    <t>Guangdong Hanhe Non-Ferrous Metal Co.,Ltd.</t>
    <phoneticPr fontId="97" type="noConversion"/>
  </si>
  <si>
    <t>CID003116</t>
    <phoneticPr fontId="97" type="noConversion"/>
  </si>
  <si>
    <t>The Tiger Temple In Centipede Mountain,Guyi Village In Town of Guxiang,Chaoan County</t>
  </si>
  <si>
    <t>Chaozhou</t>
    <phoneticPr fontId="97" type="noConversion"/>
  </si>
  <si>
    <t>Guangdong</t>
    <phoneticPr fontId="97" type="noConversion"/>
  </si>
  <si>
    <t>陈先生</t>
    <phoneticPr fontId="97" type="noConversion"/>
  </si>
  <si>
    <t xml:space="preserve">55286613@qq.com </t>
  </si>
  <si>
    <t>无</t>
    <phoneticPr fontId="97" type="noConversion"/>
  </si>
  <si>
    <t>无矿井，矿砂提炼</t>
    <phoneticPr fontId="97" type="noConversion"/>
  </si>
  <si>
    <t>0086 (0) 871-66287166</t>
  </si>
  <si>
    <t>ytgh@ytc.cn</t>
  </si>
  <si>
    <t>Gejiu . China</t>
  </si>
  <si>
    <t xml:space="preserve"> 0852-2808-1555 (Andi)</t>
  </si>
  <si>
    <t xml:space="preserve">bangkaprimatin77@gmail.com </t>
  </si>
  <si>
    <t>Bangka Belitung . Indonesia</t>
  </si>
  <si>
    <t xml:space="preserve">premiumtinindonesia16@gmail.com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</si>
</sst>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imsolder.com/about-aim-solder/policies-certificat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297"/>
      <c r="B2" s="4" t="s">
        <v>807</v>
      </c>
      <c r="C2" s="2"/>
      <c r="D2" s="159"/>
      <c r="E2" s="2"/>
      <c r="F2" s="2"/>
      <c r="G2" s="24"/>
    </row>
    <row r="3" spans="1:7">
      <c r="A3" s="297"/>
      <c r="B3" s="2" t="s">
        <v>800</v>
      </c>
      <c r="C3" s="4"/>
      <c r="D3" s="160"/>
      <c r="E3" s="2"/>
      <c r="F3" s="4"/>
      <c r="G3" s="24"/>
    </row>
    <row r="4" spans="1:7" ht="15.75">
      <c r="A4" s="297"/>
      <c r="B4" s="27" t="s">
        <v>809</v>
      </c>
      <c r="C4" s="5"/>
      <c r="D4" s="161"/>
      <c r="E4" s="2"/>
      <c r="F4" s="5"/>
      <c r="G4" s="24"/>
    </row>
    <row r="5" spans="1:7">
      <c r="A5" s="297"/>
      <c r="B5" s="26" t="s">
        <v>998</v>
      </c>
      <c r="C5" s="3"/>
      <c r="D5" s="162"/>
      <c r="E5" s="2"/>
      <c r="F5" s="3"/>
      <c r="G5" s="24"/>
    </row>
    <row r="6" spans="1:7">
      <c r="A6" s="297"/>
      <c r="B6" s="2"/>
      <c r="C6" s="2"/>
      <c r="D6" s="159"/>
      <c r="E6" s="2"/>
      <c r="F6" s="2"/>
      <c r="G6" s="24"/>
    </row>
    <row r="7" spans="1:7">
      <c r="A7" s="297"/>
      <c r="B7" s="2"/>
      <c r="C7" s="2"/>
      <c r="D7" s="159"/>
      <c r="E7" s="2"/>
      <c r="F7" s="2"/>
      <c r="G7" s="24"/>
    </row>
    <row r="8" spans="1:7">
      <c r="A8" s="297"/>
      <c r="B8" s="2"/>
      <c r="C8" s="2"/>
      <c r="D8" s="159"/>
      <c r="E8" s="2"/>
      <c r="F8" s="2"/>
      <c r="G8" s="24"/>
    </row>
    <row r="9" spans="1:7">
      <c r="A9" s="297"/>
      <c r="B9" s="300" t="s">
        <v>810</v>
      </c>
      <c r="C9" s="300"/>
      <c r="D9" s="300"/>
      <c r="E9" s="300"/>
      <c r="F9" s="300"/>
      <c r="G9" s="24"/>
    </row>
    <row r="10" spans="1:7" ht="27" customHeight="1">
      <c r="A10" s="297"/>
      <c r="B10" s="301" t="s">
        <v>423</v>
      </c>
      <c r="C10" s="301"/>
      <c r="D10" s="301"/>
      <c r="E10" s="301"/>
      <c r="F10" s="301"/>
      <c r="G10" s="24"/>
    </row>
    <row r="11" spans="1:7" ht="27" customHeight="1">
      <c r="A11" s="297"/>
      <c r="B11" s="302"/>
      <c r="C11" s="302"/>
      <c r="D11" s="302"/>
      <c r="E11" s="302"/>
      <c r="F11" s="302"/>
      <c r="G11" s="24"/>
    </row>
    <row r="12" spans="1:7">
      <c r="A12" s="297"/>
      <c r="B12" s="28" t="s">
        <v>808</v>
      </c>
      <c r="C12" s="29" t="s">
        <v>811</v>
      </c>
      <c r="D12" s="163" t="s">
        <v>812</v>
      </c>
      <c r="E12" s="29" t="s">
        <v>593</v>
      </c>
      <c r="F12" s="29" t="s">
        <v>594</v>
      </c>
      <c r="G12" s="24"/>
    </row>
    <row r="13" spans="1:7" ht="33.75">
      <c r="A13" s="297"/>
      <c r="B13" s="275">
        <v>1</v>
      </c>
      <c r="C13" s="276" t="s">
        <v>1046</v>
      </c>
      <c r="D13" s="277" t="s">
        <v>836</v>
      </c>
      <c r="E13" s="278" t="s">
        <v>813</v>
      </c>
      <c r="F13" s="278"/>
      <c r="G13" s="24"/>
    </row>
    <row r="14" spans="1:7" ht="56.25">
      <c r="A14" s="297"/>
      <c r="B14" s="275">
        <v>2</v>
      </c>
      <c r="C14" s="276" t="s">
        <v>1046</v>
      </c>
      <c r="D14" s="277" t="s">
        <v>983</v>
      </c>
      <c r="E14" s="278" t="s">
        <v>513</v>
      </c>
      <c r="F14" s="278" t="s">
        <v>514</v>
      </c>
      <c r="G14" s="24"/>
    </row>
    <row r="15" spans="1:7" ht="89.1" customHeight="1">
      <c r="A15" s="297"/>
      <c r="B15" s="303">
        <v>2.0099999999999998</v>
      </c>
      <c r="C15" s="294" t="s">
        <v>1046</v>
      </c>
      <c r="D15" s="306" t="s">
        <v>2150</v>
      </c>
      <c r="E15" s="279" t="s">
        <v>595</v>
      </c>
      <c r="F15" s="279" t="s">
        <v>598</v>
      </c>
      <c r="G15" s="24"/>
    </row>
    <row r="16" spans="1:7" ht="99" customHeight="1">
      <c r="A16" s="297"/>
      <c r="B16" s="304"/>
      <c r="C16" s="295"/>
      <c r="D16" s="307"/>
      <c r="E16" s="280"/>
      <c r="F16" s="280" t="s">
        <v>596</v>
      </c>
      <c r="G16" s="24"/>
    </row>
    <row r="17" spans="1:7" ht="63" customHeight="1">
      <c r="A17" s="297"/>
      <c r="B17" s="305"/>
      <c r="C17" s="296"/>
      <c r="D17" s="308"/>
      <c r="E17" s="276"/>
      <c r="F17" s="276" t="s">
        <v>597</v>
      </c>
      <c r="G17" s="24"/>
    </row>
    <row r="18" spans="1:7" ht="117" customHeight="1">
      <c r="A18" s="297"/>
      <c r="B18" s="303">
        <v>2.02</v>
      </c>
      <c r="C18" s="294" t="s">
        <v>1046</v>
      </c>
      <c r="D18" s="306" t="s">
        <v>2151</v>
      </c>
      <c r="E18" s="279" t="s">
        <v>424</v>
      </c>
      <c r="F18" s="279" t="s">
        <v>508</v>
      </c>
      <c r="G18" s="24"/>
    </row>
    <row r="19" spans="1:7" ht="71.099999999999994" customHeight="1">
      <c r="A19" s="297"/>
      <c r="B19" s="304"/>
      <c r="C19" s="295"/>
      <c r="D19" s="307"/>
      <c r="E19" s="280" t="s">
        <v>512</v>
      </c>
      <c r="F19" s="280" t="s">
        <v>425</v>
      </c>
      <c r="G19" s="24"/>
    </row>
    <row r="20" spans="1:7" ht="90.75" customHeight="1">
      <c r="A20" s="297"/>
      <c r="B20" s="304"/>
      <c r="C20" s="295"/>
      <c r="D20" s="307"/>
      <c r="E20" s="280"/>
      <c r="F20" s="280" t="s">
        <v>600</v>
      </c>
      <c r="G20" s="24"/>
    </row>
    <row r="21" spans="1:7" ht="74.25" customHeight="1">
      <c r="A21" s="297"/>
      <c r="B21" s="305"/>
      <c r="C21" s="296"/>
      <c r="D21" s="308"/>
      <c r="E21" s="276"/>
      <c r="F21" s="276" t="s">
        <v>599</v>
      </c>
      <c r="G21" s="24"/>
    </row>
    <row r="22" spans="1:7" ht="90" customHeight="1">
      <c r="A22" s="297"/>
      <c r="B22" s="312">
        <v>2.0299999999999998</v>
      </c>
      <c r="C22" s="312" t="s">
        <v>783</v>
      </c>
      <c r="D22" s="315" t="s">
        <v>2152</v>
      </c>
      <c r="E22" s="294" t="s">
        <v>422</v>
      </c>
      <c r="F22" s="279" t="s">
        <v>445</v>
      </c>
      <c r="G22" s="24"/>
    </row>
    <row r="23" spans="1:7" ht="109.5" customHeight="1">
      <c r="A23" s="297"/>
      <c r="B23" s="313"/>
      <c r="C23" s="313"/>
      <c r="D23" s="316"/>
      <c r="E23" s="295"/>
      <c r="F23" s="280" t="s">
        <v>784</v>
      </c>
      <c r="G23" s="24"/>
    </row>
    <row r="24" spans="1:7" ht="74.25" customHeight="1">
      <c r="A24" s="297"/>
      <c r="B24" s="314"/>
      <c r="C24" s="314"/>
      <c r="D24" s="317"/>
      <c r="E24" s="296"/>
      <c r="F24" s="276" t="s">
        <v>421</v>
      </c>
      <c r="G24" s="24"/>
    </row>
    <row r="25" spans="1:7" ht="72" customHeight="1">
      <c r="A25" s="297"/>
      <c r="B25" s="275" t="s">
        <v>443</v>
      </c>
      <c r="C25" s="276" t="s">
        <v>444</v>
      </c>
      <c r="D25" s="277" t="s">
        <v>2153</v>
      </c>
      <c r="E25" s="276" t="s">
        <v>2148</v>
      </c>
      <c r="F25" s="276" t="s">
        <v>446</v>
      </c>
      <c r="G25" s="24"/>
    </row>
    <row r="26" spans="1:7" ht="98.1" customHeight="1">
      <c r="A26" s="297"/>
      <c r="B26" s="309">
        <v>3</v>
      </c>
      <c r="C26" s="303" t="s">
        <v>66</v>
      </c>
      <c r="D26" s="306" t="s">
        <v>2154</v>
      </c>
      <c r="E26" s="294" t="s">
        <v>0</v>
      </c>
      <c r="F26" s="279" t="s">
        <v>60</v>
      </c>
      <c r="G26" s="24"/>
    </row>
    <row r="27" spans="1:7" ht="90" customHeight="1">
      <c r="A27" s="297"/>
      <c r="B27" s="310"/>
      <c r="C27" s="304"/>
      <c r="D27" s="307"/>
      <c r="E27" s="295"/>
      <c r="F27" s="280" t="s">
        <v>55</v>
      </c>
      <c r="G27" s="24"/>
    </row>
    <row r="28" spans="1:7" ht="19.350000000000001" customHeight="1">
      <c r="A28" s="297"/>
      <c r="B28" s="310"/>
      <c r="C28" s="304"/>
      <c r="D28" s="307"/>
      <c r="E28" s="295"/>
      <c r="F28" s="280" t="s">
        <v>56</v>
      </c>
      <c r="G28" s="24"/>
    </row>
    <row r="29" spans="1:7" ht="74.650000000000006" customHeight="1">
      <c r="A29" s="297"/>
      <c r="B29" s="310"/>
      <c r="C29" s="304"/>
      <c r="D29" s="307"/>
      <c r="E29" s="295"/>
      <c r="F29" s="280" t="s">
        <v>57</v>
      </c>
      <c r="G29" s="24"/>
    </row>
    <row r="30" spans="1:7" ht="62.65" customHeight="1">
      <c r="A30" s="297"/>
      <c r="B30" s="310"/>
      <c r="C30" s="304"/>
      <c r="D30" s="307"/>
      <c r="E30" s="295"/>
      <c r="F30" s="280" t="s">
        <v>58</v>
      </c>
      <c r="G30" s="24"/>
    </row>
    <row r="31" spans="1:7" ht="81" customHeight="1">
      <c r="A31" s="297"/>
      <c r="B31" s="310"/>
      <c r="C31" s="304"/>
      <c r="D31" s="307"/>
      <c r="E31" s="295"/>
      <c r="F31" s="280" t="s">
        <v>59</v>
      </c>
      <c r="G31" s="24"/>
    </row>
    <row r="32" spans="1:7" ht="48.75" customHeight="1">
      <c r="A32" s="297"/>
      <c r="B32" s="310"/>
      <c r="C32" s="304"/>
      <c r="D32" s="307"/>
      <c r="E32" s="295"/>
      <c r="F32" s="280" t="s">
        <v>62</v>
      </c>
      <c r="G32" s="24"/>
    </row>
    <row r="33" spans="1:7" ht="98.65" customHeight="1">
      <c r="A33" s="297"/>
      <c r="B33" s="310"/>
      <c r="C33" s="304"/>
      <c r="D33" s="307"/>
      <c r="E33" s="295"/>
      <c r="F33" s="280" t="s">
        <v>61</v>
      </c>
      <c r="G33" s="24"/>
    </row>
    <row r="34" spans="1:7" ht="89.1" customHeight="1">
      <c r="A34" s="297"/>
      <c r="B34" s="310"/>
      <c r="C34" s="304"/>
      <c r="D34" s="307"/>
      <c r="E34" s="295"/>
      <c r="F34" s="280" t="s">
        <v>63</v>
      </c>
      <c r="G34" s="24"/>
    </row>
    <row r="35" spans="1:7" ht="29.1" customHeight="1">
      <c r="A35" s="297"/>
      <c r="B35" s="310"/>
      <c r="C35" s="304"/>
      <c r="D35" s="307"/>
      <c r="E35" s="295"/>
      <c r="F35" s="280" t="s">
        <v>64</v>
      </c>
      <c r="G35" s="24"/>
    </row>
    <row r="36" spans="1:7" ht="147">
      <c r="A36" s="297"/>
      <c r="B36" s="311"/>
      <c r="C36" s="305"/>
      <c r="D36" s="308"/>
      <c r="E36" s="296"/>
      <c r="F36" s="282" t="s">
        <v>65</v>
      </c>
      <c r="G36" s="24"/>
    </row>
    <row r="37" spans="1:7" ht="157.5">
      <c r="A37" s="297"/>
      <c r="B37" s="281">
        <v>3.01</v>
      </c>
      <c r="C37" s="283" t="s">
        <v>66</v>
      </c>
      <c r="D37" s="277" t="s">
        <v>2155</v>
      </c>
      <c r="E37" s="284" t="s">
        <v>1282</v>
      </c>
      <c r="F37" s="285" t="s">
        <v>1384</v>
      </c>
      <c r="G37" s="24"/>
    </row>
    <row r="38" spans="1:7" ht="146.25">
      <c r="A38" s="297"/>
      <c r="B38" s="281">
        <v>3.02</v>
      </c>
      <c r="C38" s="283" t="s">
        <v>1314</v>
      </c>
      <c r="D38" s="277" t="s">
        <v>2156</v>
      </c>
      <c r="E38" s="284" t="s">
        <v>1329</v>
      </c>
      <c r="F38" s="285" t="s">
        <v>1385</v>
      </c>
      <c r="G38" s="24"/>
    </row>
    <row r="39" spans="1:7" ht="112.5">
      <c r="A39" s="297"/>
      <c r="B39" s="286">
        <v>4</v>
      </c>
      <c r="C39" s="287" t="s">
        <v>1480</v>
      </c>
      <c r="D39" s="277" t="s">
        <v>2157</v>
      </c>
      <c r="E39" s="276" t="s">
        <v>2104</v>
      </c>
      <c r="F39" s="276" t="s">
        <v>1481</v>
      </c>
      <c r="G39" s="24"/>
    </row>
    <row r="40" spans="1:7" ht="67.5">
      <c r="A40" s="297"/>
      <c r="B40" s="281">
        <v>4.01</v>
      </c>
      <c r="C40" s="287" t="s">
        <v>1480</v>
      </c>
      <c r="D40" s="277" t="s">
        <v>2159</v>
      </c>
      <c r="E40" s="276" t="s">
        <v>2116</v>
      </c>
      <c r="F40" s="276" t="s">
        <v>2120</v>
      </c>
      <c r="G40" s="24"/>
    </row>
    <row r="41" spans="1:7" ht="67.5">
      <c r="A41" s="297"/>
      <c r="B41" s="281" t="s">
        <v>2146</v>
      </c>
      <c r="C41" s="287" t="s">
        <v>1480</v>
      </c>
      <c r="D41" s="277" t="s">
        <v>2158</v>
      </c>
      <c r="E41" s="276" t="s">
        <v>2149</v>
      </c>
      <c r="F41" s="276" t="s">
        <v>2147</v>
      </c>
      <c r="G41" s="24"/>
    </row>
    <row r="42" spans="1:7" ht="67.5">
      <c r="A42" s="297"/>
      <c r="B42" s="281" t="s">
        <v>2173</v>
      </c>
      <c r="C42" s="287" t="s">
        <v>1480</v>
      </c>
      <c r="D42" s="277" t="s">
        <v>2178</v>
      </c>
      <c r="E42" s="276" t="s">
        <v>2148</v>
      </c>
      <c r="F42" s="276" t="s">
        <v>2174</v>
      </c>
      <c r="G42" s="24"/>
    </row>
    <row r="43" spans="1:7" ht="191.25">
      <c r="A43" s="297"/>
      <c r="B43" s="288">
        <v>4.0999999999999996</v>
      </c>
      <c r="C43" s="287" t="s">
        <v>2177</v>
      </c>
      <c r="D43" s="289">
        <v>42867</v>
      </c>
      <c r="E43" s="290" t="s">
        <v>2180</v>
      </c>
      <c r="F43" s="276" t="s">
        <v>2179</v>
      </c>
      <c r="G43" s="24"/>
    </row>
    <row r="44" spans="1:7" ht="112.5">
      <c r="A44" s="297"/>
      <c r="B44" s="288">
        <v>4.2</v>
      </c>
      <c r="C44" s="287" t="s">
        <v>2177</v>
      </c>
      <c r="D44" s="289">
        <v>42704</v>
      </c>
      <c r="E44" s="290" t="s">
        <v>2369</v>
      </c>
      <c r="F44" s="276" t="s">
        <v>2344</v>
      </c>
      <c r="G44" s="24"/>
    </row>
    <row r="45" spans="1:7" ht="213.75">
      <c r="A45" s="297"/>
      <c r="B45" s="291">
        <v>5</v>
      </c>
      <c r="C45" s="287" t="s">
        <v>2177</v>
      </c>
      <c r="D45" s="289">
        <v>42867</v>
      </c>
      <c r="E45" s="290" t="s">
        <v>12256</v>
      </c>
      <c r="F45" s="276" t="s">
        <v>11978</v>
      </c>
      <c r="G45" s="24"/>
    </row>
    <row r="46" spans="1:7" ht="56.25">
      <c r="A46" s="297"/>
      <c r="B46" s="288">
        <v>5.01</v>
      </c>
      <c r="C46" s="287" t="s">
        <v>2177</v>
      </c>
      <c r="D46" s="289">
        <v>42907</v>
      </c>
      <c r="E46" s="290" t="s">
        <v>14886</v>
      </c>
      <c r="F46" s="276" t="s">
        <v>11978</v>
      </c>
      <c r="G46" s="24"/>
    </row>
    <row r="47" spans="1:7" ht="101.25">
      <c r="A47" s="297"/>
      <c r="B47" s="288">
        <v>5.0999999999999996</v>
      </c>
      <c r="C47" s="287" t="s">
        <v>2177</v>
      </c>
      <c r="D47" s="289">
        <v>43070</v>
      </c>
      <c r="E47" s="290" t="s">
        <v>12456</v>
      </c>
      <c r="F47" s="276" t="s">
        <v>12457</v>
      </c>
      <c r="G47" s="24"/>
    </row>
    <row r="48" spans="1:7" ht="90">
      <c r="A48" s="297"/>
      <c r="B48" s="288">
        <v>5.1100000000000003</v>
      </c>
      <c r="C48" s="287" t="s">
        <v>12684</v>
      </c>
      <c r="D48" s="289">
        <v>43217</v>
      </c>
      <c r="E48" s="290" t="s">
        <v>12786</v>
      </c>
      <c r="F48" s="276" t="s">
        <v>12711</v>
      </c>
      <c r="G48" s="24"/>
    </row>
    <row r="49" spans="1:7" ht="90">
      <c r="A49" s="297"/>
      <c r="B49" s="288">
        <v>5.12</v>
      </c>
      <c r="C49" s="287" t="s">
        <v>12684</v>
      </c>
      <c r="D49" s="289">
        <v>43581</v>
      </c>
      <c r="E49" s="290" t="s">
        <v>12786</v>
      </c>
      <c r="F49" s="276" t="s">
        <v>13315</v>
      </c>
      <c r="G49" s="24"/>
    </row>
    <row r="50" spans="1:7" ht="112.5">
      <c r="A50" s="297"/>
      <c r="B50" s="291">
        <v>6</v>
      </c>
      <c r="C50" s="287" t="s">
        <v>12684</v>
      </c>
      <c r="D50" s="289">
        <v>43964</v>
      </c>
      <c r="E50" s="290" t="s">
        <v>13527</v>
      </c>
      <c r="F50" s="276" t="s">
        <v>13318</v>
      </c>
      <c r="G50" s="24"/>
    </row>
    <row r="51" spans="1:7" ht="56.25">
      <c r="A51" s="297"/>
      <c r="B51" s="288">
        <v>6.01</v>
      </c>
      <c r="C51" s="287" t="s">
        <v>12684</v>
      </c>
      <c r="D51" s="289">
        <v>43970</v>
      </c>
      <c r="E51" s="290" t="s">
        <v>14887</v>
      </c>
      <c r="F51" s="290" t="s">
        <v>13318</v>
      </c>
      <c r="G51" s="24"/>
    </row>
    <row r="52" spans="1:7" ht="56.25">
      <c r="A52" s="297"/>
      <c r="B52" s="288">
        <v>6.1</v>
      </c>
      <c r="C52" s="287" t="s">
        <v>12684</v>
      </c>
      <c r="D52" s="289">
        <v>44314</v>
      </c>
      <c r="E52" s="290" t="s">
        <v>14880</v>
      </c>
      <c r="F52" s="290" t="s">
        <v>14487</v>
      </c>
      <c r="G52" s="24"/>
    </row>
    <row r="53" spans="1:7" ht="56.25">
      <c r="A53" s="297"/>
      <c r="B53" s="288">
        <v>6.2</v>
      </c>
      <c r="C53" s="287" t="s">
        <v>12684</v>
      </c>
      <c r="D53" s="289">
        <v>44678</v>
      </c>
      <c r="E53" s="290" t="s">
        <v>14880</v>
      </c>
      <c r="F53" s="290" t="s">
        <v>14879</v>
      </c>
      <c r="G53" s="24"/>
    </row>
    <row r="54" spans="1:7" ht="56.25">
      <c r="A54" s="297"/>
      <c r="B54" s="288">
        <v>6.21</v>
      </c>
      <c r="C54" s="287" t="s">
        <v>12684</v>
      </c>
      <c r="D54" s="289">
        <v>44687</v>
      </c>
      <c r="E54" s="290" t="s">
        <v>14888</v>
      </c>
      <c r="F54" s="290" t="s">
        <v>14879</v>
      </c>
      <c r="G54" s="24"/>
    </row>
    <row r="55" spans="1:7" ht="56.25">
      <c r="A55" s="297"/>
      <c r="B55" s="288">
        <v>6.22</v>
      </c>
      <c r="C55" s="287" t="s">
        <v>12684</v>
      </c>
      <c r="D55" s="292">
        <v>44692</v>
      </c>
      <c r="E55" s="290" t="s">
        <v>14887</v>
      </c>
      <c r="F55" s="290" t="s">
        <v>14879</v>
      </c>
      <c r="G55" s="24"/>
    </row>
    <row r="56" spans="1:7" ht="90">
      <c r="A56" s="297"/>
      <c r="B56" s="291">
        <v>6.3</v>
      </c>
      <c r="C56" s="287" t="s">
        <v>12684</v>
      </c>
      <c r="D56" s="292">
        <v>45051</v>
      </c>
      <c r="E56" s="290" t="s">
        <v>15144</v>
      </c>
      <c r="F56" s="290" t="s">
        <v>14925</v>
      </c>
      <c r="G56" s="24"/>
    </row>
    <row r="57" spans="1:7" ht="56.25">
      <c r="A57" s="297"/>
      <c r="B57" s="288">
        <v>6.31</v>
      </c>
      <c r="C57" s="287" t="s">
        <v>12684</v>
      </c>
      <c r="D57" s="292">
        <v>45072</v>
      </c>
      <c r="E57" s="290" t="s">
        <v>15146</v>
      </c>
      <c r="F57" s="290" t="s">
        <v>14925</v>
      </c>
      <c r="G57" s="24"/>
    </row>
    <row r="58" spans="1:7" ht="56.25">
      <c r="A58" s="297"/>
      <c r="B58" s="291">
        <v>6.4</v>
      </c>
      <c r="C58" s="287" t="s">
        <v>12684</v>
      </c>
      <c r="D58" s="292">
        <v>45408</v>
      </c>
      <c r="E58" s="290" t="s">
        <v>15148</v>
      </c>
      <c r="F58" s="290" t="s">
        <v>15147</v>
      </c>
      <c r="G58" s="24"/>
    </row>
    <row r="59" spans="1:7" ht="56.25">
      <c r="A59" s="297"/>
      <c r="B59" s="291">
        <v>6.5</v>
      </c>
      <c r="C59" s="287" t="s">
        <v>12684</v>
      </c>
      <c r="D59" s="292">
        <v>45772</v>
      </c>
      <c r="E59" s="290" t="s">
        <v>15217</v>
      </c>
      <c r="F59" s="290" t="s">
        <v>15259</v>
      </c>
      <c r="G59" s="24"/>
    </row>
    <row r="60" spans="1:7" ht="90">
      <c r="A60" s="297"/>
      <c r="B60" s="291">
        <v>6.6</v>
      </c>
      <c r="C60" s="287" t="s">
        <v>12684</v>
      </c>
      <c r="D60" s="292">
        <v>46129</v>
      </c>
      <c r="E60" s="290" t="s">
        <v>15870</v>
      </c>
      <c r="F60" s="293" t="s">
        <v>15352</v>
      </c>
      <c r="G60" s="24"/>
    </row>
    <row r="61" spans="1:7" ht="13.5" thickBot="1">
      <c r="A61" s="298"/>
      <c r="B61" s="299" t="str">
        <f ca="1">OFFSET(L!$C$1,MATCH("General"&amp;"Cpy",L!$A:$A,0)-1,SL,,)</f>
        <v>© 2026 Responsible Minerals Initiative. All rights reserved.</v>
      </c>
      <c r="C61" s="299"/>
      <c r="D61" s="299"/>
      <c r="E61" s="299"/>
      <c r="F61" s="29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5159A66-4B69-4870-A2EE-60EDA767D21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7A1839B-869A-4EE1-836F-A387083677F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650000000000006"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999999999999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9"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650000000000006"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65" customHeight="1">
      <c r="A52" s="99" t="str">
        <f ca="1">OFFSET(L!$C$1,MATCH("Instructions"&amp;ADDRESS(ROW(),COLUMN(),4),L!$A:$A,0)-1,SL,,)</f>
        <v>2. Metal (*)   -   Use the pull down menu to select the metal for which you are entering smelter information.  This field is mandatory.</v>
      </c>
      <c r="B52" s="97"/>
    </row>
    <row r="53" spans="1:2" ht="79.15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6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650000000000006"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6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150000000000006"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15"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15"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65"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15886</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15884</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15885</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46155</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473</v>
      </c>
      <c r="E39" s="328"/>
      <c r="F39" s="44"/>
      <c r="G39" s="335" t="s">
        <v>15887</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474</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473</v>
      </c>
      <c r="E45" s="328"/>
      <c r="F45" s="44"/>
      <c r="G45" s="335" t="s">
        <v>15887</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15888</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69" t="s">
        <v>15888</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15889</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C6175BB-A0C1-4BD3-9972-59801576E321}"/>
    <hyperlink ref="D20" r:id="rId4" xr:uid="{711841BE-89A9-470A-BDF7-947BFEE0D27F}"/>
    <hyperlink ref="G77" r:id="rId5" xr:uid="{1148D677-5892-4B2E-AEF6-F4C959037FC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20" sqref="C20"/>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6.149999999999999"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736</v>
      </c>
      <c r="B5" s="166" t="s">
        <v>1088</v>
      </c>
      <c r="C5" s="170" t="s">
        <v>803</v>
      </c>
      <c r="D5" s="213" t="s">
        <v>803</v>
      </c>
      <c r="E5" s="166" t="s">
        <v>2321</v>
      </c>
      <c r="F5" s="166" t="s">
        <v>736</v>
      </c>
      <c r="G5" s="166" t="s">
        <v>12764</v>
      </c>
      <c r="H5" s="167">
        <v>0</v>
      </c>
      <c r="I5" s="168" t="s">
        <v>1688</v>
      </c>
      <c r="J5" s="168" t="s">
        <v>1688</v>
      </c>
      <c r="K5" s="207" t="s">
        <v>15890</v>
      </c>
      <c r="L5" s="207" t="s">
        <v>15891</v>
      </c>
      <c r="M5" s="207" t="s">
        <v>15892</v>
      </c>
      <c r="N5" s="207" t="s">
        <v>15893</v>
      </c>
      <c r="O5" s="207" t="s">
        <v>15894</v>
      </c>
      <c r="P5" s="169" t="s">
        <v>474</v>
      </c>
      <c r="Q5" s="208"/>
      <c r="R5" s="166" t="str">
        <f ca="1">IF(ISERROR($V5),"",OFFSET('Smelter Look-up'!$C$4,$V5-4,0)&amp;"")</f>
        <v>EM Vinto</v>
      </c>
      <c r="S5" s="165" t="str">
        <f ca="1">IF(B5="","",IF(ISERROR(MATCH($E5,CL,0)),"Unknown",INDIRECT("'C'!$A$"&amp;MATCH($E5,CL,0)+1)))</f>
        <v>Unknown</v>
      </c>
      <c r="T5" s="165" t="e">
        <f ca="1">IF(B5="","",IF(ISERROR(MATCH($J5,SorP!$B$1:$B$6261,0)),"",INDIRECT("'SorP'!$A$"&amp;MATCH($S5&amp;$J5,SorP!C:C,0))))</f>
        <v>#N/A</v>
      </c>
      <c r="U5" s="185"/>
      <c r="V5" s="209">
        <f>IF(C5="",NA(),IF(OR(C5="Smelter not listed",C5="Smelter not yet identified"),MATCH($B5&amp;$D5,'Smelter Look-up'!$J:$J,0),MATCH($B5&amp;$C5,'Smelter Look-up'!$J:$J,0)))</f>
        <v>453</v>
      </c>
      <c r="X5" s="210">
        <f t="shared" ref="X5" si="0">IF(AND(C5="Smelter not listed",OR(LEN(D5)=0,LEN(E5)=0)),1,0)</f>
        <v>0</v>
      </c>
      <c r="AB5" s="211" t="str">
        <f t="shared" ref="AB5" si="1">B5&amp;C5</f>
        <v>TinEM Vinto</v>
      </c>
    </row>
    <row r="6" spans="1:34" s="210" customFormat="1" ht="20.100000000000001" customHeight="1">
      <c r="A6" s="245" t="s">
        <v>744</v>
      </c>
      <c r="B6" s="166" t="s">
        <v>1088</v>
      </c>
      <c r="C6" s="170" t="s">
        <v>992</v>
      </c>
      <c r="D6" s="213" t="s">
        <v>992</v>
      </c>
      <c r="E6" s="166" t="s">
        <v>840</v>
      </c>
      <c r="F6" s="166" t="s">
        <v>744</v>
      </c>
      <c r="G6" s="166" t="s">
        <v>12764</v>
      </c>
      <c r="H6" s="167">
        <v>0</v>
      </c>
      <c r="I6" s="168" t="s">
        <v>1702</v>
      </c>
      <c r="J6" s="168" t="s">
        <v>8699</v>
      </c>
      <c r="K6" s="207" t="s">
        <v>15895</v>
      </c>
      <c r="L6" s="207" t="s">
        <v>15896</v>
      </c>
      <c r="M6" s="207" t="s">
        <v>15892</v>
      </c>
      <c r="N6" s="207" t="s">
        <v>15897</v>
      </c>
      <c r="O6" s="207" t="s">
        <v>15898</v>
      </c>
      <c r="P6" s="169" t="s">
        <v>474</v>
      </c>
      <c r="Q6" s="208"/>
      <c r="R6" s="166" t="str">
        <f ca="1">IF(ISERROR($V6),"",OFFSET('Smelter Look-up'!$C$4,$V6-4,0)&amp;"")</f>
        <v>Minsur</v>
      </c>
      <c r="S6" s="165" t="str">
        <f t="shared" ref="S6:S37" ca="1" si="2">IF(B6="","",IF(ISERROR(MATCH($E6,CL,0)),"Unknown",INDIRECT("'C'!$A$"&amp;MATCH($E6,CL,0)+1)))</f>
        <v>PE</v>
      </c>
      <c r="T6" s="165" t="str">
        <f ca="1">IF(B6="","",IF(ISERROR(MATCH($J6,SorP!$B$1:$B$6261,0)),"",INDIRECT("'SorP'!$A$"&amp;MATCH($S6&amp;$J6,SorP!C:C,0))))</f>
        <v>PE-ICA</v>
      </c>
      <c r="U6" s="185"/>
      <c r="V6" s="209">
        <f>IF(C6="",NA(),IF(OR(C6="Smelter not listed",C6="Smelter not yet identified"),MATCH($B6&amp;$D6,'Smelter Look-up'!$J:$J,0),MATCH($B6&amp;$C6,'Smelter Look-up'!$J:$J,0)))</f>
        <v>503</v>
      </c>
      <c r="X6" s="210">
        <f t="shared" ref="X6:X37" si="3">IF(AND(C6="Smelter not listed",OR(LEN(D6)=0,LEN(E6)=0)),1,0)</f>
        <v>0</v>
      </c>
      <c r="AB6" s="211" t="str">
        <f t="shared" ref="AB6:AB37" si="4">B6&amp;C6</f>
        <v>TinMinsur</v>
      </c>
    </row>
    <row r="7" spans="1:34" s="210" customFormat="1" ht="20.100000000000001" customHeight="1">
      <c r="A7" s="245" t="s">
        <v>748</v>
      </c>
      <c r="B7" s="166" t="s">
        <v>1088</v>
      </c>
      <c r="C7" s="170" t="s">
        <v>13290</v>
      </c>
      <c r="D7" s="213" t="s">
        <v>13290</v>
      </c>
      <c r="E7" s="166" t="s">
        <v>2321</v>
      </c>
      <c r="F7" s="166" t="s">
        <v>748</v>
      </c>
      <c r="G7" s="166" t="s">
        <v>12764</v>
      </c>
      <c r="H7" s="167">
        <v>0</v>
      </c>
      <c r="I7" s="168" t="s">
        <v>1688</v>
      </c>
      <c r="J7" s="168" t="s">
        <v>1688</v>
      </c>
      <c r="K7" s="207" t="s">
        <v>15899</v>
      </c>
      <c r="L7" s="207" t="s">
        <v>15900</v>
      </c>
      <c r="M7" s="207" t="s">
        <v>15892</v>
      </c>
      <c r="N7" s="207" t="s">
        <v>15901</v>
      </c>
      <c r="O7" s="207" t="s">
        <v>15902</v>
      </c>
      <c r="P7" s="169" t="s">
        <v>474</v>
      </c>
      <c r="Q7" s="208"/>
      <c r="R7" s="166" t="str">
        <f ca="1">IF(ISERROR($V7),"",OFFSET('Smelter Look-up'!$C$4,$V7-4,0)&amp;"")</f>
        <v>Operaciones Metalurgicas S.A.</v>
      </c>
      <c r="S7" s="165" t="str">
        <f t="shared" ca="1" si="2"/>
        <v>Unknown</v>
      </c>
      <c r="T7" s="165" t="e">
        <f ca="1">IF(B7="","",IF(ISERROR(MATCH($J7,SorP!$B$1:$B$6261,0)),"",INDIRECT("'SorP'!$A$"&amp;MATCH($S7&amp;$J7,SorP!C:C,0))))</f>
        <v>#N/A</v>
      </c>
      <c r="U7" s="185"/>
      <c r="V7" s="209">
        <f>IF(C7="",NA(),IF(OR(C7="Smelter not listed",C7="Smelter not yet identified"),MATCH($B7&amp;$D7,'Smelter Look-up'!$J:$J,0),MATCH($B7&amp;$C7,'Smelter Look-up'!$J:$J,0)))</f>
        <v>514</v>
      </c>
      <c r="X7" s="210">
        <f t="shared" si="3"/>
        <v>0</v>
      </c>
      <c r="AB7" s="211" t="str">
        <f t="shared" si="4"/>
        <v>TinOperaciones Metalurgicas S.A.</v>
      </c>
    </row>
    <row r="8" spans="1:34" s="210" customFormat="1" ht="20.100000000000001" customHeight="1">
      <c r="A8" s="245" t="s">
        <v>680</v>
      </c>
      <c r="B8" s="166" t="s">
        <v>1087</v>
      </c>
      <c r="C8" s="170" t="s">
        <v>1183</v>
      </c>
      <c r="D8" s="213" t="s">
        <v>1183</v>
      </c>
      <c r="E8" s="166" t="s">
        <v>2323</v>
      </c>
      <c r="F8" s="166" t="s">
        <v>680</v>
      </c>
      <c r="G8" s="166" t="s">
        <v>12764</v>
      </c>
      <c r="H8" s="167">
        <v>0</v>
      </c>
      <c r="I8" s="168" t="s">
        <v>1565</v>
      </c>
      <c r="J8" s="168" t="s">
        <v>1566</v>
      </c>
      <c r="K8" s="207"/>
      <c r="L8" s="207"/>
      <c r="M8" s="207"/>
      <c r="N8" s="207"/>
      <c r="O8" s="207"/>
      <c r="P8" s="169"/>
      <c r="Q8" s="208"/>
      <c r="R8" s="166" t="str">
        <f ca="1">IF(ISERROR($V8),"",OFFSET('Smelter Look-up'!$C$4,$V8-4,0)&amp;"")</f>
        <v>Metalor USA Refining Corporation</v>
      </c>
      <c r="S8" s="165" t="str">
        <f t="shared" ca="1" si="2"/>
        <v>US</v>
      </c>
      <c r="T8" s="165" t="str">
        <f ca="1">IF(B8="","",IF(ISERROR(MATCH($J8,SorP!$B$1:$B$6261,0)),"",INDIRECT("'SorP'!$A$"&amp;MATCH($S8&amp;$J8,SorP!C:C,0))))</f>
        <v>US-MA</v>
      </c>
      <c r="U8" s="185"/>
      <c r="V8" s="209">
        <f>IF(C8="",NA(),IF(OR(C8="Smelter not listed",C8="Smelter not yet identified"),MATCH($B8&amp;$D8,'Smelter Look-up'!$J:$J,0),MATCH($B8&amp;$C8,'Smelter Look-up'!$J:$J,0)))</f>
        <v>197</v>
      </c>
      <c r="X8" s="210">
        <f t="shared" si="3"/>
        <v>0</v>
      </c>
      <c r="AB8" s="211" t="str">
        <f t="shared" si="4"/>
        <v>GoldMetalor USA Refining Corporation</v>
      </c>
    </row>
    <row r="9" spans="1:34" s="210" customFormat="1" ht="20.100000000000001" customHeight="1">
      <c r="A9" s="245" t="s">
        <v>743</v>
      </c>
      <c r="B9" s="166" t="s">
        <v>1088</v>
      </c>
      <c r="C9" s="170" t="s">
        <v>11981</v>
      </c>
      <c r="D9" s="213" t="s">
        <v>11981</v>
      </c>
      <c r="E9" s="166" t="s">
        <v>1054</v>
      </c>
      <c r="F9" s="166" t="s">
        <v>743</v>
      </c>
      <c r="G9" s="166" t="s">
        <v>12764</v>
      </c>
      <c r="H9" s="167">
        <v>0</v>
      </c>
      <c r="I9" s="168" t="s">
        <v>15903</v>
      </c>
      <c r="J9" s="168" t="s">
        <v>1610</v>
      </c>
      <c r="K9" s="207"/>
      <c r="L9" s="207"/>
      <c r="M9" s="207"/>
      <c r="N9" s="207"/>
      <c r="O9" s="207"/>
      <c r="P9" s="169"/>
      <c r="Q9" s="208"/>
      <c r="R9" s="166" t="str">
        <f ca="1">IF(ISERROR($V9),"",OFFSET('Smelter Look-up'!$C$4,$V9-4,0)&amp;"")</f>
        <v>Mineracao Taboca S.A.</v>
      </c>
      <c r="S9" s="165" t="str">
        <f t="shared" ca="1" si="2"/>
        <v>BR</v>
      </c>
      <c r="T9" s="165" t="str">
        <f ca="1">IF(B9="","",IF(ISERROR(MATCH($J9,SorP!$B$1:$B$6261,0)),"",INDIRECT("'SorP'!$A$"&amp;MATCH($S9&amp;$J9,SorP!C:C,0))))</f>
        <v>BR-SP</v>
      </c>
      <c r="U9" s="185"/>
      <c r="V9" s="209">
        <f>IF(C9="",NA(),IF(OR(C9="Smelter not listed",C9="Smelter not yet identified"),MATCH($B9&amp;$D9,'Smelter Look-up'!$J:$J,0),MATCH($B9&amp;$C9,'Smelter Look-up'!$J:$J,0)))</f>
        <v>498</v>
      </c>
      <c r="X9" s="210">
        <f t="shared" si="3"/>
        <v>0</v>
      </c>
      <c r="AB9" s="211" t="str">
        <f t="shared" si="4"/>
        <v>TinMineracao Taboca S.A.</v>
      </c>
    </row>
    <row r="10" spans="1:34" s="210" customFormat="1" ht="20.100000000000001" customHeight="1">
      <c r="A10" s="245" t="s">
        <v>14873</v>
      </c>
      <c r="B10" s="166" t="s">
        <v>1088</v>
      </c>
      <c r="C10" s="170" t="s">
        <v>14872</v>
      </c>
      <c r="D10" s="213" t="s">
        <v>14872</v>
      </c>
      <c r="E10" s="166" t="s">
        <v>1063</v>
      </c>
      <c r="F10" s="166" t="s">
        <v>14873</v>
      </c>
      <c r="G10" s="166" t="s">
        <v>12764</v>
      </c>
      <c r="H10" s="167">
        <v>0</v>
      </c>
      <c r="I10" s="168" t="s">
        <v>1686</v>
      </c>
      <c r="J10" s="168" t="s">
        <v>12398</v>
      </c>
      <c r="K10" s="207"/>
      <c r="L10" s="207"/>
      <c r="M10" s="207"/>
      <c r="N10" s="207"/>
      <c r="O10" s="207"/>
      <c r="P10" s="169"/>
      <c r="Q10" s="208"/>
      <c r="R10" s="166" t="str">
        <f ca="1">IF(ISERROR($V10),"",OFFSET('Smelter Look-up'!$C$4,$V10-4,0)&amp;"")</f>
        <v>PT Putera Sarana Shakti (PT PSS)</v>
      </c>
      <c r="S10" s="165" t="str">
        <f t="shared" ca="1" si="2"/>
        <v>ID</v>
      </c>
      <c r="T10" s="165" t="str">
        <f ca="1">IF(B10="","",IF(ISERROR(MATCH($J10,SorP!$B$1:$B$6261,0)),"",INDIRECT("'SorP'!$A$"&amp;MATCH($S10&amp;$J10,SorP!C:C,0))))</f>
        <v>ID-BB</v>
      </c>
      <c r="U10" s="185"/>
      <c r="V10" s="209">
        <f>IF(C10="",NA(),IF(OR(C10="Smelter not listed",C10="Smelter not yet identified"),MATCH($B10&amp;$D10,'Smelter Look-up'!$J:$J,0),MATCH($B10&amp;$C10,'Smelter Look-up'!$J:$J,0)))</f>
        <v>528</v>
      </c>
      <c r="X10" s="210">
        <f t="shared" si="3"/>
        <v>0</v>
      </c>
      <c r="AB10" s="211" t="str">
        <f t="shared" si="4"/>
        <v>TinPT Putera Sarana Shakti (PT PSS)</v>
      </c>
    </row>
    <row r="11" spans="1:34" s="210" customFormat="1" ht="20.100000000000001" customHeight="1">
      <c r="A11" s="245" t="s">
        <v>13349</v>
      </c>
      <c r="B11" s="166" t="s">
        <v>1088</v>
      </c>
      <c r="C11" s="170" t="s">
        <v>13335</v>
      </c>
      <c r="D11" s="213" t="s">
        <v>13335</v>
      </c>
      <c r="E11" s="166" t="s">
        <v>1063</v>
      </c>
      <c r="F11" s="166" t="s">
        <v>13349</v>
      </c>
      <c r="G11" s="166" t="s">
        <v>12764</v>
      </c>
      <c r="H11" s="167">
        <v>0</v>
      </c>
      <c r="I11" s="168" t="s">
        <v>14557</v>
      </c>
      <c r="J11" s="168" t="s">
        <v>12398</v>
      </c>
      <c r="K11" s="207"/>
      <c r="L11" s="207"/>
      <c r="M11" s="207"/>
      <c r="N11" s="207"/>
      <c r="O11" s="207"/>
      <c r="P11" s="169"/>
      <c r="Q11" s="208"/>
      <c r="R11" s="166" t="str">
        <f ca="1">IF(ISERROR($V11),"",OFFSET('Smelter Look-up'!$C$4,$V11-4,0)&amp;"")</f>
        <v>PT Mitra Sukses Globalindo</v>
      </c>
      <c r="S11" s="165" t="str">
        <f t="shared" ca="1" si="2"/>
        <v>ID</v>
      </c>
      <c r="T11" s="165" t="str">
        <f ca="1">IF(B11="","",IF(ISERROR(MATCH($J11,SorP!$B$1:$B$6261,0)),"",INDIRECT("'SorP'!$A$"&amp;MATCH($S11&amp;$J11,SorP!C:C,0))))</f>
        <v>ID-BB</v>
      </c>
      <c r="U11" s="185"/>
      <c r="V11" s="209">
        <f>IF(C11="",NA(),IF(OR(C11="Smelter not listed",C11="Smelter not yet identified"),MATCH($B11&amp;$D11,'Smelter Look-up'!$J:$J,0),MATCH($B11&amp;$C11,'Smelter Look-up'!$J:$J,0)))</f>
        <v>525</v>
      </c>
      <c r="X11" s="210">
        <f t="shared" si="3"/>
        <v>0</v>
      </c>
      <c r="AB11" s="211" t="str">
        <f t="shared" si="4"/>
        <v>TinPT Mitra Sukses Globalindo</v>
      </c>
    </row>
    <row r="12" spans="1:34" s="210" customFormat="1" ht="20.100000000000001" customHeight="1">
      <c r="A12" s="245" t="s">
        <v>13348</v>
      </c>
      <c r="B12" s="166" t="s">
        <v>1088</v>
      </c>
      <c r="C12" s="170" t="s">
        <v>13334</v>
      </c>
      <c r="D12" s="213" t="s">
        <v>13334</v>
      </c>
      <c r="E12" s="166" t="s">
        <v>12638</v>
      </c>
      <c r="F12" s="166" t="s">
        <v>13348</v>
      </c>
      <c r="G12" s="166" t="s">
        <v>12764</v>
      </c>
      <c r="H12" s="167">
        <v>0</v>
      </c>
      <c r="I12" s="168" t="s">
        <v>13359</v>
      </c>
      <c r="J12" s="168" t="s">
        <v>9642</v>
      </c>
      <c r="K12" s="207"/>
      <c r="L12" s="207"/>
      <c r="M12" s="207"/>
      <c r="N12" s="207"/>
      <c r="O12" s="207"/>
      <c r="P12" s="169"/>
      <c r="Q12" s="208"/>
      <c r="R12" s="166" t="str">
        <f ca="1">IF(ISERROR($V12),"",OFFSET('Smelter Look-up'!$C$4,$V12-4,0)&amp;"")</f>
        <v>Luna Smelter, Ltd.</v>
      </c>
      <c r="S12" s="165" t="str">
        <f t="shared" ca="1" si="2"/>
        <v>RW</v>
      </c>
      <c r="T12" s="165" t="str">
        <f ca="1">IF(B12="","",IF(ISERROR(MATCH($J12,SorP!$B$1:$B$6261,0)),"",INDIRECT("'SorP'!$A$"&amp;MATCH($S12&amp;$J12,SorP!C:C,0))))</f>
        <v>RW-01</v>
      </c>
      <c r="U12" s="185"/>
      <c r="V12" s="209">
        <f>IF(C12="",NA(),IF(OR(C12="Smelter not listed",C12="Smelter not yet identified"),MATCH($B12&amp;$D12,'Smelter Look-up'!$J:$J,0),MATCH($B12&amp;$C12,'Smelter Look-up'!$J:$J,0)))</f>
        <v>488</v>
      </c>
      <c r="X12" s="210">
        <f t="shared" si="3"/>
        <v>0</v>
      </c>
      <c r="AB12" s="211" t="str">
        <f t="shared" si="4"/>
        <v>TinLuna Smelter, Ltd.</v>
      </c>
    </row>
    <row r="13" spans="1:34" s="210" customFormat="1" ht="20.100000000000001" customHeight="1">
      <c r="A13" s="245" t="s">
        <v>15179</v>
      </c>
      <c r="B13" s="166" t="s">
        <v>1088</v>
      </c>
      <c r="C13" s="170" t="s">
        <v>15178</v>
      </c>
      <c r="D13" s="213" t="s">
        <v>15178</v>
      </c>
      <c r="E13" s="166" t="s">
        <v>1063</v>
      </c>
      <c r="F13" s="166" t="s">
        <v>15179</v>
      </c>
      <c r="G13" s="166" t="s">
        <v>12764</v>
      </c>
      <c r="H13" s="167">
        <v>0</v>
      </c>
      <c r="I13" s="168" t="s">
        <v>14554</v>
      </c>
      <c r="J13" s="168" t="s">
        <v>12398</v>
      </c>
      <c r="K13" s="207"/>
      <c r="L13" s="207"/>
      <c r="M13" s="207"/>
      <c r="N13" s="207"/>
      <c r="O13" s="207"/>
      <c r="P13" s="169"/>
      <c r="Q13" s="208"/>
      <c r="R13" s="166" t="str">
        <f ca="1">IF(ISERROR($V13),"",OFFSET('Smelter Look-up'!$C$4,$V13-4,0)&amp;"")</f>
        <v>PT Rajehan Ariq</v>
      </c>
      <c r="S13" s="165" t="str">
        <f t="shared" ca="1" si="2"/>
        <v>ID</v>
      </c>
      <c r="T13" s="165" t="str">
        <f ca="1">IF(B13="","",IF(ISERROR(MATCH($J13,SorP!$B$1:$B$6261,0)),"",INDIRECT("'SorP'!$A$"&amp;MATCH($S13&amp;$J13,SorP!C:C,0))))</f>
        <v>ID-BB</v>
      </c>
      <c r="U13" s="185"/>
      <c r="V13" s="209">
        <f>IF(C13="",NA(),IF(OR(C13="Smelter not listed",C13="Smelter not yet identified"),MATCH($B13&amp;$D13,'Smelter Look-up'!$J:$J,0),MATCH($B13&amp;$C13,'Smelter Look-up'!$J:$J,0)))</f>
        <v>529</v>
      </c>
      <c r="X13" s="210">
        <f t="shared" si="3"/>
        <v>0</v>
      </c>
      <c r="AB13" s="211" t="str">
        <f t="shared" si="4"/>
        <v>TinPT Rajehan Ariq</v>
      </c>
    </row>
    <row r="14" spans="1:34" s="210" customFormat="1" ht="20.100000000000001" customHeight="1">
      <c r="A14" s="245" t="s">
        <v>749</v>
      </c>
      <c r="B14" s="166" t="s">
        <v>1088</v>
      </c>
      <c r="C14" s="170" t="s">
        <v>607</v>
      </c>
      <c r="D14" s="213" t="s">
        <v>607</v>
      </c>
      <c r="E14" s="166" t="s">
        <v>1063</v>
      </c>
      <c r="F14" s="166" t="s">
        <v>749</v>
      </c>
      <c r="G14" s="166" t="s">
        <v>12764</v>
      </c>
      <c r="H14" s="167">
        <v>0</v>
      </c>
      <c r="I14" s="168" t="s">
        <v>1686</v>
      </c>
      <c r="J14" s="168" t="s">
        <v>12398</v>
      </c>
      <c r="K14" s="207"/>
      <c r="L14" s="207"/>
      <c r="M14" s="207"/>
      <c r="N14" s="207"/>
      <c r="O14" s="207"/>
      <c r="P14" s="169"/>
      <c r="Q14" s="208"/>
      <c r="R14" s="166" t="str">
        <f ca="1">IF(ISERROR($V14),"",OFFSET('Smelter Look-up'!$C$4,$V14-4,0)&amp;"")</f>
        <v>PT Mitra Stania Prima</v>
      </c>
      <c r="S14" s="165" t="str">
        <f t="shared" ca="1" si="2"/>
        <v>ID</v>
      </c>
      <c r="T14" s="165" t="str">
        <f ca="1">IF(B14="","",IF(ISERROR(MATCH($J14,SorP!$B$1:$B$6261,0)),"",INDIRECT("'SorP'!$A$"&amp;MATCH($S14&amp;$J14,SorP!C:C,0))))</f>
        <v>ID-BB</v>
      </c>
      <c r="U14" s="185"/>
      <c r="V14" s="209">
        <f>IF(C14="",NA(),IF(OR(C14="Smelter not listed",C14="Smelter not yet identified"),MATCH($B14&amp;$D14,'Smelter Look-up'!$J:$J,0),MATCH($B14&amp;$C14,'Smelter Look-up'!$J:$J,0)))</f>
        <v>524</v>
      </c>
      <c r="X14" s="210">
        <f t="shared" si="3"/>
        <v>0</v>
      </c>
      <c r="AB14" s="211" t="str">
        <f t="shared" si="4"/>
        <v>TinPT Mitra Stania Prima</v>
      </c>
    </row>
    <row r="15" spans="1:34" s="210" customFormat="1" ht="20.100000000000001" customHeight="1">
      <c r="A15" s="245" t="s">
        <v>2419</v>
      </c>
      <c r="B15" s="166" t="s">
        <v>1088</v>
      </c>
      <c r="C15" s="170" t="s">
        <v>2418</v>
      </c>
      <c r="D15" s="213" t="s">
        <v>15904</v>
      </c>
      <c r="E15" s="166" t="s">
        <v>1058</v>
      </c>
      <c r="F15" s="166" t="s">
        <v>15905</v>
      </c>
      <c r="G15" s="166" t="s">
        <v>12764</v>
      </c>
      <c r="H15" s="167" t="s">
        <v>15906</v>
      </c>
      <c r="I15" s="168" t="s">
        <v>15907</v>
      </c>
      <c r="J15" s="168" t="s">
        <v>15908</v>
      </c>
      <c r="K15" s="207" t="s">
        <v>15909</v>
      </c>
      <c r="L15" s="207" t="s">
        <v>15910</v>
      </c>
      <c r="M15" s="207" t="s">
        <v>15911</v>
      </c>
      <c r="N15" s="207" t="s">
        <v>15912</v>
      </c>
      <c r="O15" s="207" t="s">
        <v>15911</v>
      </c>
      <c r="P15" s="169" t="s">
        <v>474</v>
      </c>
      <c r="Q15" s="208"/>
      <c r="R15" s="166" t="str">
        <f ca="1">IF(ISERROR($V15),"",OFFSET('Smelter Look-up'!$C$4,$V15-4,0)&amp;"")</f>
        <v>Guangdong Hanhe Non-Ferrous Metal Co., Ltd.</v>
      </c>
      <c r="S15" s="165" t="str">
        <f t="shared" ca="1" si="2"/>
        <v>CN</v>
      </c>
      <c r="T15" s="165" t="str">
        <f ca="1">IF(B15="","",IF(ISERROR(MATCH($J15,SorP!$B$1:$B$6261,0)),"",INDIRECT("'SorP'!$A$"&amp;MATCH($S15&amp;$J15,SorP!C:C,0))))</f>
        <v/>
      </c>
      <c r="U15" s="185"/>
      <c r="V15" s="209">
        <f>IF(C15="",NA(),IF(OR(C15="Smelter not listed",C15="Smelter not yet identified"),MATCH($B15&amp;$D15,'Smelter Look-up'!$J:$J,0),MATCH($B15&amp;$C15,'Smelter Look-up'!$J:$J,0)))</f>
        <v>475</v>
      </c>
      <c r="X15" s="210">
        <f t="shared" si="3"/>
        <v>0</v>
      </c>
      <c r="AB15" s="211" t="str">
        <f t="shared" si="4"/>
        <v>TinGuangdong Hanhe Non-Ferrous Metal Co., Ltd.</v>
      </c>
    </row>
    <row r="16" spans="1:34" s="210" customFormat="1" ht="20.100000000000001" customHeight="1">
      <c r="A16" s="245" t="s">
        <v>756</v>
      </c>
      <c r="B16" s="166" t="s">
        <v>1088</v>
      </c>
      <c r="C16" s="170" t="s">
        <v>14867</v>
      </c>
      <c r="D16" s="213" t="s">
        <v>14867</v>
      </c>
      <c r="E16" s="166" t="s">
        <v>1058</v>
      </c>
      <c r="F16" s="166" t="s">
        <v>756</v>
      </c>
      <c r="G16" s="166" t="s">
        <v>12764</v>
      </c>
      <c r="H16" s="167">
        <v>0</v>
      </c>
      <c r="I16" s="168" t="s">
        <v>2336</v>
      </c>
      <c r="J16" s="168" t="s">
        <v>13126</v>
      </c>
      <c r="K16" s="207" t="s">
        <v>15913</v>
      </c>
      <c r="L16" s="207" t="s">
        <v>15914</v>
      </c>
      <c r="M16" s="207"/>
      <c r="N16" s="207" t="s">
        <v>14867</v>
      </c>
      <c r="O16" s="207" t="s">
        <v>15915</v>
      </c>
      <c r="P16" s="169" t="s">
        <v>474</v>
      </c>
      <c r="Q16" s="208"/>
      <c r="R16" s="166" t="str">
        <f ca="1">IF(ISERROR($V16),"",OFFSET('Smelter Look-up'!$C$4,$V16-4,0)&amp;"")</f>
        <v>Tin Smelting Branch of Yunnan Tin Co., Ltd.</v>
      </c>
      <c r="S16" s="165" t="str">
        <f t="shared" ca="1" si="2"/>
        <v>CN</v>
      </c>
      <c r="T16" s="165" t="str">
        <f ca="1">IF(B16="","",IF(ISERROR(MATCH($J16,SorP!$B$1:$B$6261,0)),"",INDIRECT("'SorP'!$A$"&amp;MATCH($S16&amp;$J16,SorP!C:C,0))))</f>
        <v>CN-YN</v>
      </c>
      <c r="U16" s="185"/>
      <c r="V16" s="209">
        <f>IF(C16="",NA(),IF(OR(C16="Smelter not listed",C16="Smelter not yet identified"),MATCH($B16&amp;$D16,'Smelter Look-up'!$J:$J,0),MATCH($B16&amp;$C16,'Smelter Look-up'!$J:$J,0)))</f>
        <v>546</v>
      </c>
      <c r="X16" s="210">
        <f t="shared" si="3"/>
        <v>0</v>
      </c>
      <c r="AB16" s="211" t="str">
        <f t="shared" si="4"/>
        <v>TinTin Smelting Branch of Yunnan Tin Co., Ltd.</v>
      </c>
    </row>
    <row r="17" spans="1:28" s="210" customFormat="1" ht="20.100000000000001" customHeight="1">
      <c r="A17" s="245" t="s">
        <v>14907</v>
      </c>
      <c r="B17" s="166" t="s">
        <v>1088</v>
      </c>
      <c r="C17" s="170" t="s">
        <v>14906</v>
      </c>
      <c r="D17" s="213" t="s">
        <v>14906</v>
      </c>
      <c r="E17" s="166" t="s">
        <v>1063</v>
      </c>
      <c r="F17" s="166" t="s">
        <v>14907</v>
      </c>
      <c r="G17" s="166" t="s">
        <v>12764</v>
      </c>
      <c r="H17" s="167">
        <v>0</v>
      </c>
      <c r="I17" s="168" t="s">
        <v>14910</v>
      </c>
      <c r="J17" s="168" t="s">
        <v>12398</v>
      </c>
      <c r="K17" s="207" t="s">
        <v>15916</v>
      </c>
      <c r="L17" s="207" t="s">
        <v>15917</v>
      </c>
      <c r="M17" s="207"/>
      <c r="N17" s="207" t="s">
        <v>14906</v>
      </c>
      <c r="O17" s="207" t="s">
        <v>15918</v>
      </c>
      <c r="P17" s="169" t="s">
        <v>474</v>
      </c>
      <c r="Q17" s="208"/>
      <c r="R17" s="166" t="str">
        <f ca="1">IF(ISERROR($V17),"",OFFSET('Smelter Look-up'!$C$4,$V17-4,0)&amp;"")</f>
        <v>PT Bangka Prima Tin</v>
      </c>
      <c r="S17" s="165" t="str">
        <f t="shared" ca="1" si="2"/>
        <v>ID</v>
      </c>
      <c r="T17" s="165" t="str">
        <f ca="1">IF(B17="","",IF(ISERROR(MATCH($J17,SorP!$B$1:$B$6261,0)),"",INDIRECT("'SorP'!$A$"&amp;MATCH($S17&amp;$J17,SorP!C:C,0))))</f>
        <v>ID-BB</v>
      </c>
      <c r="U17" s="185"/>
      <c r="V17" s="209">
        <f>IF(C17="",NA(),IF(OR(C17="Smelter not listed",C17="Smelter not yet identified"),MATCH($B17&amp;$D17,'Smelter Look-up'!$J:$J,0),MATCH($B17&amp;$C17,'Smelter Look-up'!$J:$J,0)))</f>
        <v>521</v>
      </c>
      <c r="X17" s="210">
        <f t="shared" si="3"/>
        <v>0</v>
      </c>
      <c r="AB17" s="211" t="str">
        <f t="shared" si="4"/>
        <v>TinPT Bangka Prima Tin</v>
      </c>
    </row>
    <row r="18" spans="1:28" s="210" customFormat="1" ht="20.100000000000001" customHeight="1">
      <c r="A18" s="165" t="s">
        <v>14902</v>
      </c>
      <c r="B18" s="166" t="s">
        <v>1088</v>
      </c>
      <c r="C18" s="170" t="s">
        <v>14901</v>
      </c>
      <c r="D18" s="213" t="s">
        <v>14901</v>
      </c>
      <c r="E18" s="166" t="s">
        <v>1063</v>
      </c>
      <c r="F18" s="166" t="s">
        <v>14902</v>
      </c>
      <c r="G18" s="166" t="s">
        <v>12764</v>
      </c>
      <c r="H18" s="167">
        <v>0</v>
      </c>
      <c r="I18" s="168" t="s">
        <v>14908</v>
      </c>
      <c r="J18" s="168" t="s">
        <v>12398</v>
      </c>
      <c r="K18" s="207" t="s">
        <v>15916</v>
      </c>
      <c r="L18" s="207" t="s">
        <v>15919</v>
      </c>
      <c r="M18" s="207"/>
      <c r="N18" s="207" t="s">
        <v>14901</v>
      </c>
      <c r="O18" s="207" t="s">
        <v>15918</v>
      </c>
      <c r="P18" s="169" t="s">
        <v>474</v>
      </c>
      <c r="Q18" s="208"/>
      <c r="R18" s="166" t="str">
        <f ca="1">IF(ISERROR($V18),"",OFFSET('Smelter Look-up'!$C$4,$V18-4,0)&amp;"")</f>
        <v>PT Premium Tin Indonesia</v>
      </c>
      <c r="S18" s="165" t="str">
        <f t="shared" ca="1" si="2"/>
        <v>ID</v>
      </c>
      <c r="T18" s="165" t="str">
        <f ca="1">IF(B18="","",IF(ISERROR(MATCH($J18,SorP!$B$1:$B$6261,0)),"",INDIRECT("'SorP'!$A$"&amp;MATCH($S18&amp;$J18,SorP!C:C,0))))</f>
        <v>ID-BB</v>
      </c>
      <c r="U18" s="185"/>
      <c r="V18" s="209">
        <f>IF(C18="",NA(),IF(OR(C18="Smelter not listed",C18="Smelter not yet identified"),MATCH($B18&amp;$D18,'Smelter Look-up'!$J:$J,0),MATCH($B18&amp;$C18,'Smelter Look-up'!$J:$J,0)))</f>
        <v>526</v>
      </c>
      <c r="X18" s="210">
        <f t="shared" si="3"/>
        <v>0</v>
      </c>
      <c r="AB18" s="211" t="str">
        <f t="shared" si="4"/>
        <v>TinPT Premium Tin Indonesia</v>
      </c>
    </row>
    <row r="19" spans="1:28" s="210" customFormat="1" ht="51">
      <c r="A19" s="165" t="s">
        <v>750</v>
      </c>
      <c r="B19" s="166" t="s">
        <v>1088</v>
      </c>
      <c r="C19" s="170" t="s">
        <v>13288</v>
      </c>
      <c r="D19" s="213" t="s">
        <v>13288</v>
      </c>
      <c r="E19" s="166" t="s">
        <v>1063</v>
      </c>
      <c r="F19" s="166" t="s">
        <v>750</v>
      </c>
      <c r="G19" s="166" t="s">
        <v>12764</v>
      </c>
      <c r="H19" s="167">
        <v>0</v>
      </c>
      <c r="I19" s="168" t="s">
        <v>1710</v>
      </c>
      <c r="J19" s="168" t="s">
        <v>12398</v>
      </c>
      <c r="K19" s="207"/>
      <c r="L19" s="207"/>
      <c r="M19" s="207"/>
      <c r="N19" s="207"/>
      <c r="O19" s="207"/>
      <c r="P19" s="169"/>
      <c r="Q19" s="208"/>
      <c r="R19" s="166" t="str">
        <f ca="1">IF(ISERROR($V19),"",OFFSET('Smelter Look-up'!$C$4,$V19-4,0)&amp;"")</f>
        <v>PT Timah Tbk Mentok</v>
      </c>
      <c r="S19" s="165" t="str">
        <f t="shared" ca="1" si="2"/>
        <v>ID</v>
      </c>
      <c r="T19" s="165" t="str">
        <f ca="1">IF(B19="","",IF(ISERROR(MATCH($J19,SorP!$B$1:$B$6261,0)),"",INDIRECT("'SorP'!$A$"&amp;MATCH($S19&amp;$J19,SorP!C:C,0))))</f>
        <v>ID-BB</v>
      </c>
      <c r="U19" s="185"/>
      <c r="V19" s="209">
        <f>IF(C19="",NA(),IF(OR(C19="Smelter not listed",C19="Smelter not yet identified"),MATCH($B19&amp;$D19,'Smelter Look-up'!$J:$J,0),MATCH($B19&amp;$C19,'Smelter Look-up'!$J:$J,0)))</f>
        <v>532</v>
      </c>
      <c r="X19" s="210">
        <f t="shared" si="3"/>
        <v>0</v>
      </c>
      <c r="AB19" s="211" t="str">
        <f t="shared" si="4"/>
        <v>TinPT Timah Tbk Mentok</v>
      </c>
    </row>
    <row r="20" spans="1:28" s="210" customFormat="1" ht="51">
      <c r="A20" s="165" t="s">
        <v>767</v>
      </c>
      <c r="B20" s="166" t="s">
        <v>1088</v>
      </c>
      <c r="C20" s="170" t="s">
        <v>13289</v>
      </c>
      <c r="D20" s="213" t="s">
        <v>13289</v>
      </c>
      <c r="E20" s="166" t="s">
        <v>1063</v>
      </c>
      <c r="F20" s="166" t="s">
        <v>767</v>
      </c>
      <c r="G20" s="166" t="s">
        <v>12764</v>
      </c>
      <c r="H20" s="167">
        <v>0</v>
      </c>
      <c r="I20" s="168" t="s">
        <v>1708</v>
      </c>
      <c r="J20" s="168" t="s">
        <v>5897</v>
      </c>
      <c r="K20" s="207"/>
      <c r="L20" s="207"/>
      <c r="M20" s="207"/>
      <c r="N20" s="207"/>
      <c r="O20" s="207"/>
      <c r="P20" s="169"/>
      <c r="Q20" s="208"/>
      <c r="R20" s="166" t="str">
        <f ca="1">IF(ISERROR($V20),"",OFFSET('Smelter Look-up'!$C$4,$V20-4,0)&amp;"")</f>
        <v>PT Timah Tbk Kundur</v>
      </c>
      <c r="S20" s="165" t="str">
        <f t="shared" ca="1" si="2"/>
        <v>ID</v>
      </c>
      <c r="T20" s="165" t="str">
        <f ca="1">IF(B20="","",IF(ISERROR(MATCH($J20,SorP!$B$1:$B$6261,0)),"",INDIRECT("'SorP'!$A$"&amp;MATCH($S20&amp;$J20,SorP!C:C,0))))</f>
        <v>ID-RI</v>
      </c>
      <c r="U20" s="185"/>
      <c r="V20" s="209">
        <f>IF(C20="",NA(),IF(OR(C20="Smelter not listed",C20="Smelter not yet identified"),MATCH($B20&amp;$D20,'Smelter Look-up'!$J:$J,0),MATCH($B20&amp;$C20,'Smelter Look-up'!$J:$J,0)))</f>
        <v>531</v>
      </c>
      <c r="X20" s="210">
        <f t="shared" si="3"/>
        <v>0</v>
      </c>
      <c r="AB20" s="211" t="str">
        <f t="shared" si="4"/>
        <v>TinPT Timah Tbk Kundur</v>
      </c>
    </row>
    <row r="21" spans="1:28" s="210" customFormat="1" ht="102">
      <c r="A21" s="165" t="s">
        <v>15187</v>
      </c>
      <c r="B21" s="166" t="s">
        <v>1088</v>
      </c>
      <c r="C21" s="170" t="s">
        <v>15186</v>
      </c>
      <c r="D21" s="213" t="s">
        <v>15186</v>
      </c>
      <c r="E21" s="166" t="s">
        <v>1073</v>
      </c>
      <c r="F21" s="166" t="s">
        <v>15187</v>
      </c>
      <c r="G21" s="166" t="s">
        <v>12764</v>
      </c>
      <c r="H21" s="167">
        <v>0</v>
      </c>
      <c r="I21" s="168" t="s">
        <v>15197</v>
      </c>
      <c r="J21" s="168" t="s">
        <v>8327</v>
      </c>
      <c r="K21" s="207"/>
      <c r="L21" s="207"/>
      <c r="M21" s="207"/>
      <c r="N21" s="207"/>
      <c r="O21" s="207"/>
      <c r="P21" s="169"/>
      <c r="Q21" s="208"/>
      <c r="R21" s="166" t="str">
        <f ca="1">IF(ISERROR($V21),"",OFFSET('Smelter Look-up'!$C$4,$V21-4,0)&amp;"")</f>
        <v>Malaysia Smelting Corporation Berhad (Port Klang)</v>
      </c>
      <c r="S21" s="165" t="str">
        <f t="shared" ca="1" si="2"/>
        <v>MY</v>
      </c>
      <c r="T21" s="165" t="str">
        <f ca="1">IF(B21="","",IF(ISERROR(MATCH($J21,SorP!$B$1:$B$6261,0)),"",INDIRECT("'SorP'!$A$"&amp;MATCH($S21&amp;$J21,SorP!C:C,0))))</f>
        <v>MY-10</v>
      </c>
      <c r="U21" s="185"/>
      <c r="V21" s="209">
        <f>IF(C21="",NA(),IF(OR(C21="Smelter not listed",C21="Smelter not yet identified"),MATCH($B21&amp;$D21,'Smelter Look-up'!$J:$J,0),MATCH($B21&amp;$C21,'Smelter Look-up'!$J:$J,0)))</f>
        <v>491</v>
      </c>
      <c r="X21" s="210">
        <f t="shared" si="3"/>
        <v>0</v>
      </c>
      <c r="AB21" s="211" t="str">
        <f t="shared" si="4"/>
        <v>TinMalaysia Smelting Corporation Berhad (Port Klang)</v>
      </c>
    </row>
    <row r="22" spans="1:28" s="210" customFormat="1" ht="38.25">
      <c r="A22" s="165" t="s">
        <v>1728</v>
      </c>
      <c r="B22" s="166" t="s">
        <v>1088</v>
      </c>
      <c r="C22" s="170" t="s">
        <v>14898</v>
      </c>
      <c r="D22" s="213" t="s">
        <v>14898</v>
      </c>
      <c r="E22" s="166" t="str">
        <f ca="1">IF(ISERROR($V22),"",OFFSET('Smelter Look-up'!$D$4,$V22-4,0)&amp;"")</f>
        <v>BELGIUM</v>
      </c>
      <c r="F22" s="166" t="str">
        <f ca="1">IF(ISERROR($V22),"",OFFSET('Smelter Look-up'!$E$4,$V22-4,0))</f>
        <v>CID002773</v>
      </c>
      <c r="G22" s="166" t="str">
        <f ca="1">IF(C22=$X$4,IF(ISERROR($V22),"Enter smelter details","RMI"),IF(ISERROR($V22),"",OFFSET('Smelter Look-up'!$F$4,$V22-4,0)))</f>
        <v>RMI</v>
      </c>
      <c r="H22" s="167">
        <f ca="1">IF(ISERROR($V22),"",OFFSET('Smelter Look-up'!$G$4,$V22-4,0))</f>
        <v>0</v>
      </c>
      <c r="I22" s="168" t="str">
        <f ca="1">IF(ISERROR($V22),"",OFFSET('Smelter Look-up'!$H$4,$V22-4,0))</f>
        <v>Beerse</v>
      </c>
      <c r="J22" s="168" t="str">
        <f ca="1">IF(ISERROR($V22),"",OFFSET('Smelter Look-up'!$I$4,$V22-4,0))</f>
        <v>Antwerpen</v>
      </c>
      <c r="K22" s="207"/>
      <c r="L22" s="207"/>
      <c r="M22" s="207"/>
      <c r="N22" s="207"/>
      <c r="O22" s="207"/>
      <c r="P22" s="169"/>
      <c r="Q22" s="208"/>
      <c r="R22" s="166" t="str">
        <f ca="1">IF(ISERROR($V22),"",OFFSET('Smelter Look-up'!$C$4,$V22-4,0)&amp;"")</f>
        <v>Aurubis Beerse</v>
      </c>
      <c r="S22" s="165" t="str">
        <f t="shared" ca="1" si="2"/>
        <v>BE</v>
      </c>
      <c r="T22" s="165" t="str">
        <f ca="1">IF(B22="","",IF(ISERROR(MATCH($J22,SorP!$B$1:$B$6261,0)),"",INDIRECT("'SorP'!$A$"&amp;MATCH($S22&amp;$J22,SorP!C:C,0))))</f>
        <v>BE-VAN</v>
      </c>
      <c r="U22" s="185"/>
      <c r="V22" s="209">
        <f>IF(C22="",NA(),IF(OR(C22="Smelter not listed",C22="Smelter not yet identified"),MATCH($B22&amp;$D22,'Smelter Look-up'!$J:$J,0),MATCH($B22&amp;$C22,'Smelter Look-up'!$J:$J,0)))</f>
        <v>423</v>
      </c>
      <c r="X22" s="210">
        <f t="shared" ca="1" si="3"/>
        <v>0</v>
      </c>
      <c r="AB22" s="211" t="str">
        <f t="shared" si="4"/>
        <v>TinAurubis Beerse</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6550F33-6DF2-46FB-8287-C4AE9A88CF9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AIM METALS &amp; ALLOYS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Mario Portillo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mportillo@aimsolder.com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(+52) 6562627372</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Mario Portillo</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mportillo@aimsolder.com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65" customHeight="1">
      <c r="A56" s="86" t="s">
        <v>3</v>
      </c>
      <c r="B56" s="86" t="str">
        <f>Declaration!G77</f>
        <v>https://www.aimsolder.com/about-aim-solder/policies-certificates/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6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2026-05-13T19:17:34Z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